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S:\NASCSP-ARCHIVE\WAP\Energy Audits + Priority Lists\Manuals and Guides\OK WAP-Policies-and-Procedures-for-Energy-Audits\"/>
    </mc:Choice>
  </mc:AlternateContent>
  <xr:revisionPtr revIDLastSave="0" documentId="8_{D0DA4AFB-7480-4161-BEF6-B681E26D96D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RGET FORM" sheetId="1" r:id="rId1"/>
    <sheet name="Reduction Formulas " sheetId="4" state="hidden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H8" i="1"/>
  <c r="K2" i="4"/>
  <c r="K17" i="4"/>
  <c r="K34" i="4"/>
  <c r="J2" i="4"/>
  <c r="J17" i="4"/>
  <c r="J34" i="4"/>
  <c r="I2" i="4"/>
  <c r="I17" i="4"/>
  <c r="I34" i="4"/>
  <c r="H2" i="4"/>
  <c r="H17" i="4"/>
  <c r="H34" i="4"/>
  <c r="G2" i="4"/>
  <c r="G17" i="4"/>
  <c r="G34" i="4"/>
  <c r="K33" i="4"/>
  <c r="J33" i="4"/>
  <c r="I33" i="4"/>
  <c r="H33" i="4"/>
  <c r="G33" i="4"/>
  <c r="K32" i="4"/>
  <c r="J32" i="4"/>
  <c r="I32" i="4"/>
  <c r="H32" i="4"/>
  <c r="G32" i="4"/>
  <c r="K31" i="4"/>
  <c r="J31" i="4"/>
  <c r="I31" i="4"/>
  <c r="H31" i="4"/>
  <c r="G31" i="4"/>
  <c r="K30" i="4"/>
  <c r="J30" i="4"/>
  <c r="I30" i="4"/>
  <c r="H30" i="4"/>
  <c r="G30" i="4"/>
  <c r="K29" i="4"/>
  <c r="J29" i="4"/>
  <c r="I29" i="4"/>
  <c r="H29" i="4"/>
  <c r="G29" i="4"/>
  <c r="K28" i="4"/>
  <c r="J28" i="4"/>
  <c r="I28" i="4"/>
  <c r="H28" i="4"/>
  <c r="G28" i="4"/>
  <c r="K27" i="4"/>
  <c r="J27" i="4"/>
  <c r="I27" i="4"/>
  <c r="H27" i="4"/>
  <c r="G27" i="4"/>
  <c r="K24" i="4"/>
  <c r="J24" i="4"/>
  <c r="I24" i="4"/>
  <c r="H24" i="4"/>
  <c r="G24" i="4"/>
  <c r="K23" i="4"/>
  <c r="J23" i="4"/>
  <c r="I23" i="4"/>
  <c r="H23" i="4"/>
  <c r="G23" i="4"/>
  <c r="K22" i="4"/>
  <c r="J22" i="4"/>
  <c r="I22" i="4"/>
  <c r="H22" i="4"/>
  <c r="G22" i="4"/>
  <c r="K21" i="4"/>
  <c r="J21" i="4"/>
  <c r="I21" i="4"/>
  <c r="H21" i="4"/>
  <c r="G21" i="4"/>
  <c r="C21" i="4"/>
  <c r="K20" i="4"/>
  <c r="J20" i="4"/>
  <c r="I20" i="4"/>
  <c r="H20" i="4"/>
  <c r="G20" i="4"/>
  <c r="C20" i="4"/>
  <c r="K19" i="4"/>
  <c r="J19" i="4"/>
  <c r="I19" i="4"/>
  <c r="H19" i="4"/>
  <c r="G19" i="4"/>
  <c r="C19" i="4"/>
  <c r="K18" i="4"/>
  <c r="J18" i="4"/>
  <c r="I18" i="4"/>
  <c r="H18" i="4"/>
  <c r="G18" i="4"/>
  <c r="C18" i="4"/>
  <c r="C17" i="4"/>
  <c r="C16" i="4"/>
  <c r="K15" i="4"/>
  <c r="J15" i="4"/>
  <c r="I15" i="4"/>
  <c r="H15" i="4"/>
  <c r="G15" i="4"/>
  <c r="C15" i="4"/>
  <c r="K14" i="4"/>
  <c r="J14" i="4"/>
  <c r="I14" i="4"/>
  <c r="H14" i="4"/>
  <c r="G14" i="4"/>
  <c r="C14" i="4"/>
  <c r="K13" i="4"/>
  <c r="J13" i="4"/>
  <c r="I13" i="4"/>
  <c r="H13" i="4"/>
  <c r="G13" i="4"/>
  <c r="K12" i="4"/>
  <c r="J12" i="4"/>
  <c r="I12" i="4"/>
  <c r="H12" i="4"/>
  <c r="G12" i="4"/>
  <c r="K11" i="4"/>
  <c r="J11" i="4"/>
  <c r="I11" i="4"/>
  <c r="H11" i="4"/>
  <c r="G11" i="4"/>
  <c r="C11" i="4"/>
  <c r="K10" i="4"/>
  <c r="J10" i="4"/>
  <c r="I10" i="4"/>
  <c r="H10" i="4"/>
  <c r="G10" i="4"/>
  <c r="C10" i="4"/>
  <c r="K9" i="4"/>
  <c r="J9" i="4"/>
  <c r="I9" i="4"/>
  <c r="H9" i="4"/>
  <c r="G9" i="4"/>
  <c r="C9" i="4"/>
  <c r="K8" i="4"/>
  <c r="J8" i="4"/>
  <c r="I8" i="4"/>
  <c r="H8" i="4"/>
  <c r="G8" i="4"/>
  <c r="C8" i="4"/>
  <c r="K7" i="4"/>
  <c r="J7" i="4"/>
  <c r="I7" i="4"/>
  <c r="H7" i="4"/>
  <c r="G7" i="4"/>
  <c r="C7" i="4"/>
  <c r="K6" i="4"/>
  <c r="J6" i="4"/>
  <c r="I6" i="4"/>
  <c r="H6" i="4"/>
  <c r="G6" i="4"/>
  <c r="C6" i="4"/>
  <c r="K5" i="4"/>
  <c r="J5" i="4"/>
  <c r="I5" i="4"/>
  <c r="H5" i="4"/>
  <c r="G5" i="4"/>
  <c r="C5" i="4"/>
  <c r="K4" i="4"/>
  <c r="J4" i="4"/>
  <c r="I4" i="4"/>
  <c r="H4" i="4"/>
  <c r="G4" i="4"/>
  <c r="C4" i="4"/>
  <c r="K3" i="4"/>
  <c r="J3" i="4"/>
  <c r="I3" i="4"/>
  <c r="H3" i="4"/>
  <c r="G3" i="4"/>
  <c r="C3" i="4"/>
  <c r="M13" i="1"/>
  <c r="M11" i="1"/>
  <c r="K6" i="1"/>
  <c r="B8" i="1"/>
  <c r="J8" i="1"/>
  <c r="E8" i="1"/>
  <c r="M9" i="1"/>
</calcChain>
</file>

<file path=xl/sharedStrings.xml><?xml version="1.0" encoding="utf-8"?>
<sst xmlns="http://schemas.openxmlformats.org/spreadsheetml/2006/main" count="59" uniqueCount="47">
  <si>
    <t>1. Client</t>
  </si>
  <si>
    <t>Job #</t>
  </si>
  <si>
    <t>2. Sq. Ft of Unit</t>
  </si>
  <si>
    <t>3. Ceiling Height</t>
  </si>
  <si>
    <t>4. Total Volume</t>
  </si>
  <si>
    <t>5. ACH</t>
  </si>
  <si>
    <t>Readings from Initial Assessment</t>
  </si>
  <si>
    <t>ACH</t>
  </si>
  <si>
    <t>MRV</t>
  </si>
  <si>
    <t>R. T.</t>
  </si>
  <si>
    <t>BTL</t>
  </si>
  <si>
    <t>TARGET</t>
  </si>
  <si>
    <t>6.  Initial BD CFM Reading</t>
  </si>
  <si>
    <t>cfm</t>
  </si>
  <si>
    <t>@</t>
  </si>
  <si>
    <t>Pa</t>
  </si>
  <si>
    <t>B/D Ring #</t>
  </si>
  <si>
    <t>7.  Initial Total Duct Leakage</t>
  </si>
  <si>
    <t>D/B Ring #</t>
  </si>
  <si>
    <t>8.  Initial WRTO Duct Leakage</t>
  </si>
  <si>
    <t>Initial BD</t>
  </si>
  <si>
    <t>New Formula</t>
  </si>
  <si>
    <t>Old Formula</t>
  </si>
  <si>
    <t>Volume</t>
  </si>
  <si>
    <t>OAS</t>
  </si>
  <si>
    <t>Kye Garvin</t>
  </si>
  <si>
    <t>DOE20COT001</t>
  </si>
  <si>
    <t>1. Input the client name and job number.</t>
  </si>
  <si>
    <t>2. Input the square footage of the home.</t>
  </si>
  <si>
    <t>2.1. This should be the area inside the conditioned space and/or building envelope.</t>
  </si>
  <si>
    <t>3. Input ceiling height.</t>
  </si>
  <si>
    <t>3.1. If the ceiling is vaulted or different heights, use best judgment and determine an average ceiling height.</t>
  </si>
  <si>
    <t>4. Total volume is calculated automatically.</t>
  </si>
  <si>
    <t>5. Suggested ACH (Air Changes per hour) are calculated automatically.</t>
  </si>
  <si>
    <t>6. Input the initial Blower Door CFM reading.</t>
  </si>
  <si>
    <t>6.1. Input the pascals. This Should be 50.</t>
  </si>
  <si>
    <t>6.2. Select the Blower Door ring used for the test. This is a drop-down menu (select arrow).</t>
  </si>
  <si>
    <t>7. Input the initial Total Duct Leakage CFM.</t>
  </si>
  <si>
    <t>7.1. Input the pascals. This Should be 25. This does not change the target.</t>
  </si>
  <si>
    <t>7.2. Select the Duct Blaster ring used for the test. This is a drop down menu (select arrow).</t>
  </si>
  <si>
    <t>7.3. The After Duct Sealing CFM target is automatically calculated @ 12 % of Ft2 of conditioned space.</t>
  </si>
  <si>
    <t>8. Input the initial Outside Duct Leakage CFM.</t>
  </si>
  <si>
    <t>8.1. Input the pascals. This should be 25. This does not change the target</t>
  </si>
  <si>
    <t>8.2. Select the Duct Blaster ring used for the test. This is a drop-down menu (select arrow).</t>
  </si>
  <si>
    <t>8.3. The After Duct Sealing CFM target is automatically calculated @ 8% of Ft2 of conditioned space.</t>
  </si>
  <si>
    <t>Open</t>
  </si>
  <si>
    <t xml:space="preserve">6.3. The After Weatherization Blower Door CFM target is automatically calculated. This is based on several formulas.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</si>
</sst>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/>
    <xf numFmtId="0" fontId="2" fillId="2" borderId="0" xfId="0" applyFont="1" applyFill="1"/>
    <xf numFmtId="0" fontId="1" fillId="2" borderId="0" xfId="0" applyFont="1" applyFill="1" applyBorder="1" applyAlignment="1"/>
    <xf numFmtId="0" fontId="1" fillId="3" borderId="0" xfId="0" applyFont="1" applyFill="1" applyBorder="1" applyAlignment="1"/>
    <xf numFmtId="0" fontId="3" fillId="2" borderId="0" xfId="0" applyFont="1" applyFill="1" applyBorder="1"/>
    <xf numFmtId="0" fontId="1" fillId="2" borderId="0" xfId="0" applyFont="1" applyFill="1" applyBorder="1" applyAlignment="1" applyProtection="1">
      <alignment shrinkToFit="1"/>
      <protection locked="0"/>
    </xf>
    <xf numFmtId="0" fontId="2" fillId="2" borderId="0" xfId="0" applyFont="1" applyFill="1" applyBorder="1" applyAlignment="1"/>
    <xf numFmtId="164" fontId="3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/>
    <xf numFmtId="1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protection locked="0"/>
    </xf>
    <xf numFmtId="0" fontId="4" fillId="2" borderId="0" xfId="0" applyFont="1" applyFill="1" applyBorder="1"/>
    <xf numFmtId="2" fontId="3" fillId="2" borderId="0" xfId="0" applyNumberFormat="1" applyFont="1" applyFill="1" applyBorder="1"/>
    <xf numFmtId="1" fontId="1" fillId="4" borderId="1" xfId="0" applyNumberFormat="1" applyFont="1" applyFill="1" applyBorder="1" applyAlignment="1" applyProtection="1">
      <alignment horizontal="center"/>
      <protection locked="0"/>
    </xf>
    <xf numFmtId="2" fontId="4" fillId="2" borderId="0" xfId="0" applyNumberFormat="1" applyFont="1" applyFill="1" applyBorder="1"/>
    <xf numFmtId="1" fontId="2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4" borderId="1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0" fillId="0" borderId="0" xfId="0" applyFill="1" applyBorder="1" applyAlignment="1">
      <alignment textRotation="90"/>
    </xf>
    <xf numFmtId="0" fontId="0" fillId="0" borderId="2" xfId="0" applyBorder="1"/>
    <xf numFmtId="0" fontId="0" fillId="3" borderId="2" xfId="0" applyFill="1" applyBorder="1" applyAlignment="1"/>
    <xf numFmtId="2" fontId="0" fillId="3" borderId="2" xfId="0" applyNumberFormat="1" applyFill="1" applyBorder="1"/>
    <xf numFmtId="0" fontId="0" fillId="3" borderId="2" xfId="0" applyFill="1" applyBorder="1"/>
    <xf numFmtId="0" fontId="0" fillId="3" borderId="2" xfId="0" applyFill="1" applyBorder="1" applyAlignment="1">
      <alignment textRotation="90"/>
    </xf>
    <xf numFmtId="0" fontId="0" fillId="0" borderId="8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/>
    <xf numFmtId="0" fontId="1" fillId="4" borderId="1" xfId="0" applyNumberFormat="1" applyFont="1" applyFill="1" applyBorder="1" applyAlignment="1" applyProtection="1">
      <alignment shrinkToFit="1"/>
      <protection locked="0"/>
    </xf>
    <xf numFmtId="0" fontId="0" fillId="0" borderId="1" xfId="0" applyBorder="1" applyAlignment="1">
      <alignment shrinkToFit="1"/>
    </xf>
    <xf numFmtId="0" fontId="0" fillId="3" borderId="2" xfId="0" applyFill="1" applyBorder="1" applyAlignment="1">
      <alignment horizontal="center" textRotation="90"/>
    </xf>
    <xf numFmtId="0" fontId="0" fillId="0" borderId="0" xfId="0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8" xfId="0" applyFill="1" applyBorder="1" applyAlignment="1">
      <alignment horizontal="center" textRotation="90"/>
    </xf>
    <xf numFmtId="0" fontId="0" fillId="3" borderId="7" xfId="0" applyFill="1" applyBorder="1" applyAlignment="1">
      <alignment horizontal="center" textRotation="90"/>
    </xf>
    <xf numFmtId="0" fontId="0" fillId="3" borderId="6" xfId="0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38"/>
  <sheetViews>
    <sheetView tabSelected="1" zoomScaleNormal="100" workbookViewId="0">
      <selection activeCell="D8" sqref="D8"/>
    </sheetView>
  </sheetViews>
  <sheetFormatPr defaultRowHeight="14.5" x14ac:dyDescent="0.35"/>
  <sheetData>
    <row r="4" spans="1:13" x14ac:dyDescent="0.35">
      <c r="A4" s="1" t="s">
        <v>0</v>
      </c>
      <c r="B4" s="6"/>
      <c r="C4" s="49" t="s">
        <v>25</v>
      </c>
      <c r="D4" s="50"/>
      <c r="E4" s="50"/>
      <c r="F4" s="50"/>
      <c r="G4" s="50"/>
      <c r="H4" s="50"/>
      <c r="I4" s="2"/>
      <c r="J4" s="2"/>
      <c r="K4" s="1" t="s">
        <v>1</v>
      </c>
      <c r="L4" s="51" t="s">
        <v>26</v>
      </c>
      <c r="M4" s="52"/>
    </row>
    <row r="5" spans="1:13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5">
      <c r="A6" s="3" t="s">
        <v>2</v>
      </c>
      <c r="B6" s="7"/>
      <c r="C6" s="10">
        <v>1800</v>
      </c>
      <c r="D6" s="11"/>
      <c r="E6" s="1" t="s">
        <v>3</v>
      </c>
      <c r="F6" s="9"/>
      <c r="G6" s="2"/>
      <c r="H6" s="20">
        <v>8</v>
      </c>
      <c r="I6" s="1" t="s">
        <v>4</v>
      </c>
      <c r="J6" s="9"/>
      <c r="K6" s="21">
        <f>C6*H6</f>
        <v>14400</v>
      </c>
      <c r="L6" s="23" t="s">
        <v>5</v>
      </c>
      <c r="M6" s="26" t="str">
        <f>IF(E9&lt;=1000,("7"),IF(E9&lt;=1500,("8"),IF(E9&lt;=2000,("9"),IF(E9&lt;=3000,("10"),IF(E9&lt;=4000,("11"),IF(E9&lt;=5000,("12"),"13"))))))</f>
        <v>11</v>
      </c>
    </row>
    <row r="7" spans="1:13" x14ac:dyDescent="0.35">
      <c r="A7" s="4"/>
      <c r="B7" s="4"/>
      <c r="C7" s="4"/>
      <c r="D7" s="4"/>
      <c r="E7" s="4"/>
      <c r="F7" s="4"/>
      <c r="G7" s="19" t="s">
        <v>6</v>
      </c>
      <c r="H7" s="4"/>
      <c r="I7" s="4"/>
      <c r="J7" s="4"/>
      <c r="K7" s="4"/>
      <c r="L7" s="4"/>
      <c r="M7" s="4"/>
    </row>
    <row r="8" spans="1:13" x14ac:dyDescent="0.35">
      <c r="A8" s="5" t="s">
        <v>7</v>
      </c>
      <c r="B8" s="8">
        <f>(M6*K6)/60</f>
        <v>2640</v>
      </c>
      <c r="C8" s="5"/>
      <c r="D8" s="5" t="s">
        <v>8</v>
      </c>
      <c r="E8" s="13">
        <f>(J8+H8)/2</f>
        <v>2037</v>
      </c>
      <c r="F8" s="5"/>
      <c r="G8" s="5" t="s">
        <v>9</v>
      </c>
      <c r="H8" s="5">
        <f>IF(E9&lt;=1500,(E9*0.9), IF(E9&lt;=2500,(E9*0.75),IF(E9&lt;=4000,(E9*0.7),IF(E9&lt;=5000,(E9*0.6),(E9*0.5)))))</f>
        <v>2520</v>
      </c>
      <c r="I8" s="5" t="s">
        <v>10</v>
      </c>
      <c r="J8" s="13">
        <f>(0.35*18.5*K6)/60</f>
        <v>1554</v>
      </c>
      <c r="K8" s="12"/>
      <c r="L8" s="12"/>
      <c r="M8" s="27" t="s">
        <v>11</v>
      </c>
    </row>
    <row r="9" spans="1:13" x14ac:dyDescent="0.35">
      <c r="A9" s="1" t="s">
        <v>12</v>
      </c>
      <c r="B9" s="9"/>
      <c r="C9" s="9"/>
      <c r="D9" s="9"/>
      <c r="E9" s="14">
        <v>3600</v>
      </c>
      <c r="F9" s="17" t="s">
        <v>13</v>
      </c>
      <c r="G9" s="18" t="s">
        <v>14</v>
      </c>
      <c r="H9" s="10">
        <v>50</v>
      </c>
      <c r="I9" s="2" t="s">
        <v>15</v>
      </c>
      <c r="J9" s="9" t="s">
        <v>16</v>
      </c>
      <c r="K9" s="9"/>
      <c r="L9" s="24" t="s">
        <v>45</v>
      </c>
      <c r="M9" s="28">
        <f>MIN(B8:E8)</f>
        <v>2037</v>
      </c>
    </row>
    <row r="10" spans="1:13" x14ac:dyDescent="0.35">
      <c r="A10" s="2"/>
      <c r="B10" s="2"/>
      <c r="C10" s="2"/>
      <c r="D10" s="12"/>
      <c r="E10" s="15"/>
      <c r="F10" s="12"/>
      <c r="G10" s="12"/>
      <c r="H10" s="12"/>
      <c r="I10" s="12"/>
      <c r="J10" s="15"/>
      <c r="K10" s="22"/>
      <c r="L10" s="25"/>
      <c r="M10" s="29"/>
    </row>
    <row r="11" spans="1:13" x14ac:dyDescent="0.35">
      <c r="A11" s="1" t="s">
        <v>17</v>
      </c>
      <c r="B11" s="9"/>
      <c r="C11" s="9"/>
      <c r="D11" s="9"/>
      <c r="E11" s="14">
        <v>446</v>
      </c>
      <c r="F11" s="17" t="s">
        <v>13</v>
      </c>
      <c r="G11" s="18" t="s">
        <v>14</v>
      </c>
      <c r="H11" s="10">
        <v>25</v>
      </c>
      <c r="I11" s="2" t="s">
        <v>15</v>
      </c>
      <c r="J11" s="9" t="s">
        <v>18</v>
      </c>
      <c r="K11" s="9"/>
      <c r="L11" s="24">
        <v>2</v>
      </c>
      <c r="M11" s="28">
        <f>IF(E11&gt;0, (C6*0.12))</f>
        <v>216</v>
      </c>
    </row>
    <row r="12" spans="1:13" x14ac:dyDescent="0.35">
      <c r="A12" s="2"/>
      <c r="B12" s="2"/>
      <c r="C12" s="2"/>
      <c r="D12" s="2"/>
      <c r="E12" s="16"/>
      <c r="F12" s="18"/>
      <c r="G12" s="2"/>
      <c r="H12" s="16"/>
      <c r="I12" s="2"/>
      <c r="J12" s="2"/>
      <c r="K12" s="2"/>
      <c r="L12" s="18"/>
      <c r="M12" s="30"/>
    </row>
    <row r="13" spans="1:13" x14ac:dyDescent="0.35">
      <c r="A13" s="1" t="s">
        <v>19</v>
      </c>
      <c r="B13" s="9"/>
      <c r="C13" s="9"/>
      <c r="D13" s="9"/>
      <c r="E13" s="14">
        <v>312</v>
      </c>
      <c r="F13" s="17" t="s">
        <v>13</v>
      </c>
      <c r="G13" s="18" t="s">
        <v>14</v>
      </c>
      <c r="H13" s="10">
        <v>25</v>
      </c>
      <c r="I13" s="2" t="s">
        <v>15</v>
      </c>
      <c r="J13" s="9" t="s">
        <v>18</v>
      </c>
      <c r="K13" s="9"/>
      <c r="L13" s="24">
        <v>2</v>
      </c>
      <c r="M13" s="28">
        <f>IF(E13&gt;0, (C6*0.08))</f>
        <v>144</v>
      </c>
    </row>
    <row r="20" spans="1:2" x14ac:dyDescent="0.35">
      <c r="A20" t="s">
        <v>27</v>
      </c>
    </row>
    <row r="21" spans="1:2" x14ac:dyDescent="0.35">
      <c r="A21" t="s">
        <v>28</v>
      </c>
    </row>
    <row r="22" spans="1:2" x14ac:dyDescent="0.35">
      <c r="B22" t="s">
        <v>29</v>
      </c>
    </row>
    <row r="23" spans="1:2" x14ac:dyDescent="0.35">
      <c r="A23" t="s">
        <v>30</v>
      </c>
    </row>
    <row r="24" spans="1:2" x14ac:dyDescent="0.35">
      <c r="B24" t="s">
        <v>31</v>
      </c>
    </row>
    <row r="25" spans="1:2" x14ac:dyDescent="0.35">
      <c r="A25" t="s">
        <v>32</v>
      </c>
    </row>
    <row r="26" spans="1:2" x14ac:dyDescent="0.35">
      <c r="A26" t="s">
        <v>33</v>
      </c>
    </row>
    <row r="27" spans="1:2" x14ac:dyDescent="0.35">
      <c r="A27" t="s">
        <v>34</v>
      </c>
    </row>
    <row r="28" spans="1:2" x14ac:dyDescent="0.35">
      <c r="B28" t="s">
        <v>35</v>
      </c>
    </row>
    <row r="29" spans="1:2" x14ac:dyDescent="0.35">
      <c r="B29" t="s">
        <v>36</v>
      </c>
    </row>
    <row r="30" spans="1:2" x14ac:dyDescent="0.35">
      <c r="B30" t="s">
        <v>46</v>
      </c>
    </row>
    <row r="31" spans="1:2" x14ac:dyDescent="0.35">
      <c r="A31" t="s">
        <v>37</v>
      </c>
    </row>
    <row r="32" spans="1:2" x14ac:dyDescent="0.35">
      <c r="B32" t="s">
        <v>38</v>
      </c>
    </row>
    <row r="33" spans="1:2" x14ac:dyDescent="0.35">
      <c r="B33" t="s">
        <v>39</v>
      </c>
    </row>
    <row r="34" spans="1:2" x14ac:dyDescent="0.35">
      <c r="B34" t="s">
        <v>40</v>
      </c>
    </row>
    <row r="35" spans="1:2" x14ac:dyDescent="0.35">
      <c r="A35" t="s">
        <v>41</v>
      </c>
    </row>
    <row r="36" spans="1:2" x14ac:dyDescent="0.35">
      <c r="B36" t="s">
        <v>42</v>
      </c>
    </row>
    <row r="37" spans="1:2" x14ac:dyDescent="0.35">
      <c r="B37" t="s">
        <v>43</v>
      </c>
    </row>
    <row r="38" spans="1:2" x14ac:dyDescent="0.35">
      <c r="B38" t="s">
        <v>44</v>
      </c>
    </row>
  </sheetData>
  <sheetProtection algorithmName="SHA-512" hashValue="eEUsPSflIjRLzY9s1WjnPo5Lid35emlEa0C4xIafkM8DRVlTvS1d4aPo0mqMDVdP960dgHT9hpFvbjsbuUi2FQ==" saltValue="jvLZFhgS4Cs2m1ajdcOoag==" spinCount="100000" sheet="1" objects="1" scenarios="1"/>
  <mergeCells count="2">
    <mergeCell ref="C4:H4"/>
    <mergeCell ref="L4:M4"/>
  </mergeCells>
  <dataValidations count="10">
    <dataValidation type="whole" allowBlank="1" showInputMessage="1" showErrorMessage="1" promptTitle="Initial Duct Leakage to Outside" prompt="Input the duct leakage to the outside reading obtained from the initial assessment." sqref="E13" xr:uid="{00000000-0002-0000-0000-000000000000}">
      <formula1>0</formula1>
      <formula2>20000</formula2>
    </dataValidation>
    <dataValidation type="whole" allowBlank="1" showInputMessage="1" showErrorMessage="1" promptTitle="Initial Total Duct Leakage" prompt="Input the total duct leakage reading from the initial assessment." sqref="E11" xr:uid="{00000000-0002-0000-0000-000001000000}">
      <formula1>0</formula1>
      <formula2>20000</formula2>
    </dataValidation>
    <dataValidation type="list" allowBlank="1" showInputMessage="1" showErrorMessage="1" promptTitle="Duct Blaster Ring" prompt="Select the duct blaster ring used for this test." sqref="L11 L13" xr:uid="{00000000-0002-0000-0000-000002000000}">
      <formula1>"Open, 1, 2, 3"</formula1>
    </dataValidation>
    <dataValidation type="list" allowBlank="1" showInputMessage="1" showErrorMessage="1" promptTitle="Blower Door Ring" prompt="Select the appropriate ring used during this test." sqref="L9" xr:uid="{00000000-0002-0000-0000-000003000000}">
      <formula1>"Open, A, B, C"</formula1>
    </dataValidation>
    <dataValidation type="whole" allowBlank="1" showInputMessage="1" showErrorMessage="1" promptTitle="Duct Blaster Pascal Reading" prompt="Input the pascal reading from the duct blaster for this test." sqref="H11 H13" xr:uid="{00000000-0002-0000-0000-000004000000}">
      <formula1>0</formula1>
      <formula2>26</formula2>
    </dataValidation>
    <dataValidation type="whole" allowBlank="1" showInputMessage="1" showErrorMessage="1" promptTitle="Blower Door Pascal Reading" prompt="Input the pascal reading from the blower door for this test." sqref="H9" xr:uid="{00000000-0002-0000-0000-000005000000}">
      <formula1>0</formula1>
      <formula2>55</formula2>
    </dataValidation>
    <dataValidation type="whole" allowBlank="1" showInputMessage="1" showErrorMessage="1" promptTitle="Initial blower door reading" prompt="Input the blower door reading from the initial assessment." sqref="E9" xr:uid="{00000000-0002-0000-0000-000006000000}">
      <formula1>0</formula1>
      <formula2>20000</formula2>
    </dataValidation>
    <dataValidation type="decimal" allowBlank="1" showInputMessage="1" showErrorMessage="1" promptTitle="Ceiling Height" prompt="Input the average ceiling height for the unit." sqref="H6" xr:uid="{00000000-0002-0000-0000-000007000000}">
      <formula1>0</formula1>
      <formula2>25</formula2>
    </dataValidation>
    <dataValidation allowBlank="1" showInputMessage="1" showErrorMessage="1" promptTitle="Job Number" prompt="Input the identifying job number for this client." sqref="L4" xr:uid="{00000000-0002-0000-0000-000008000000}"/>
    <dataValidation allowBlank="1" showInputMessage="1" showErrorMessage="1" promptTitle="Client Name" prompt="Input the name of client" sqref="C4" xr:uid="{00000000-0002-0000-0000-000009000000}"/>
  </dataValidations>
  <pageMargins left="0.7" right="0.7" top="0.75" bottom="0.75" header="0.3" footer="0.3"/>
  <pageSetup scale="72" orientation="portrait" r:id="rId1"/>
  <cellWatches>
    <cellWatch r="M6"/>
    <cellWatch r="B8"/>
    <cellWatch r="H8"/>
    <cellWatch r="J8"/>
    <cellWatch r="E8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workbookViewId="0">
      <selection activeCell="D5" sqref="D5"/>
    </sheetView>
  </sheetViews>
  <sheetFormatPr defaultRowHeight="14.5" x14ac:dyDescent="0.35"/>
  <cols>
    <col min="4" max="4" width="9.08984375" customWidth="1"/>
    <col min="5" max="5" width="4.6328125" customWidth="1"/>
  </cols>
  <sheetData>
    <row r="1" spans="1:11" x14ac:dyDescent="0.35">
      <c r="A1" s="54" t="s">
        <v>22</v>
      </c>
      <c r="B1" s="54"/>
      <c r="C1" s="54"/>
      <c r="F1" s="48">
        <v>1800</v>
      </c>
      <c r="G1" s="44">
        <v>8</v>
      </c>
      <c r="H1" s="44">
        <v>8.5</v>
      </c>
      <c r="I1" s="44">
        <v>9</v>
      </c>
      <c r="J1" s="44">
        <v>9.5</v>
      </c>
      <c r="K1" s="44">
        <v>10</v>
      </c>
    </row>
    <row r="2" spans="1:11" x14ac:dyDescent="0.35">
      <c r="A2">
        <v>1599</v>
      </c>
      <c r="B2" t="s">
        <v>24</v>
      </c>
      <c r="F2" s="44" t="s">
        <v>23</v>
      </c>
      <c r="G2" s="44">
        <f>F1*G1</f>
        <v>14400</v>
      </c>
      <c r="H2" s="44">
        <f>F1*H1</f>
        <v>15300</v>
      </c>
      <c r="I2" s="44">
        <f>F1*I1</f>
        <v>16200</v>
      </c>
      <c r="J2" s="44">
        <f>F1*J1</f>
        <v>17100</v>
      </c>
      <c r="K2" s="44">
        <f>F1*K1</f>
        <v>18000</v>
      </c>
    </row>
    <row r="3" spans="1:11" x14ac:dyDescent="0.35">
      <c r="A3">
        <v>1600</v>
      </c>
      <c r="B3">
        <v>0.75</v>
      </c>
      <c r="C3">
        <f t="shared" ref="C3:C11" si="0">A3*B3</f>
        <v>1200</v>
      </c>
      <c r="F3" s="44">
        <v>3</v>
      </c>
      <c r="G3" s="47">
        <f t="shared" ref="G3:G15" si="1">($G$2*F3)/60</f>
        <v>720</v>
      </c>
      <c r="H3" s="46">
        <f t="shared" ref="H3:H15" si="2">($H$2*F3)/60</f>
        <v>765</v>
      </c>
      <c r="I3" s="46">
        <f t="shared" ref="I3:I15" si="3">(F3*$I$2)/60</f>
        <v>810</v>
      </c>
      <c r="J3" s="45">
        <f t="shared" ref="J3:J15" si="4">(F3*$J$2)/60</f>
        <v>855</v>
      </c>
      <c r="K3" s="45">
        <f t="shared" ref="K3:K15" si="5">(F3*$K$2)/60</f>
        <v>900</v>
      </c>
    </row>
    <row r="4" spans="1:11" x14ac:dyDescent="0.35">
      <c r="A4">
        <v>2750</v>
      </c>
      <c r="B4">
        <v>0.75</v>
      </c>
      <c r="C4">
        <f t="shared" si="0"/>
        <v>2062.5</v>
      </c>
      <c r="F4" s="44">
        <v>4</v>
      </c>
      <c r="G4" s="47">
        <f t="shared" si="1"/>
        <v>960</v>
      </c>
      <c r="H4" s="46">
        <f t="shared" si="2"/>
        <v>1020</v>
      </c>
      <c r="I4" s="46">
        <f t="shared" si="3"/>
        <v>1080</v>
      </c>
      <c r="J4" s="45">
        <f t="shared" si="4"/>
        <v>1140</v>
      </c>
      <c r="K4" s="45">
        <f t="shared" si="5"/>
        <v>1200</v>
      </c>
    </row>
    <row r="5" spans="1:11" x14ac:dyDescent="0.35">
      <c r="A5">
        <v>2751</v>
      </c>
      <c r="B5">
        <v>0.7</v>
      </c>
      <c r="C5">
        <f t="shared" si="0"/>
        <v>1925.6999999999998</v>
      </c>
      <c r="F5" s="44">
        <v>5</v>
      </c>
      <c r="G5" s="47">
        <f t="shared" si="1"/>
        <v>1200</v>
      </c>
      <c r="H5" s="46">
        <f t="shared" si="2"/>
        <v>1275</v>
      </c>
      <c r="I5" s="46">
        <f t="shared" si="3"/>
        <v>1350</v>
      </c>
      <c r="J5" s="45">
        <f t="shared" si="4"/>
        <v>1425</v>
      </c>
      <c r="K5" s="45">
        <f t="shared" si="5"/>
        <v>1500</v>
      </c>
    </row>
    <row r="6" spans="1:11" x14ac:dyDescent="0.35">
      <c r="A6">
        <v>4250</v>
      </c>
      <c r="B6">
        <v>0.7</v>
      </c>
      <c r="C6">
        <f t="shared" si="0"/>
        <v>2975</v>
      </c>
      <c r="F6" s="44">
        <v>6</v>
      </c>
      <c r="G6" s="47">
        <f t="shared" si="1"/>
        <v>1440</v>
      </c>
      <c r="H6" s="46">
        <f t="shared" si="2"/>
        <v>1530</v>
      </c>
      <c r="I6" s="46">
        <f t="shared" si="3"/>
        <v>1620</v>
      </c>
      <c r="J6" s="45">
        <f t="shared" si="4"/>
        <v>1710</v>
      </c>
      <c r="K6" s="45">
        <f t="shared" si="5"/>
        <v>1800</v>
      </c>
    </row>
    <row r="7" spans="1:11" x14ac:dyDescent="0.35">
      <c r="A7">
        <v>4251</v>
      </c>
      <c r="B7">
        <v>0.6</v>
      </c>
      <c r="C7">
        <f t="shared" si="0"/>
        <v>2550.6</v>
      </c>
      <c r="F7" s="44">
        <v>7</v>
      </c>
      <c r="G7" s="47">
        <f t="shared" si="1"/>
        <v>1680</v>
      </c>
      <c r="H7" s="46">
        <f t="shared" si="2"/>
        <v>1785</v>
      </c>
      <c r="I7" s="46">
        <f t="shared" si="3"/>
        <v>1890</v>
      </c>
      <c r="J7" s="45">
        <f t="shared" si="4"/>
        <v>1995</v>
      </c>
      <c r="K7" s="45">
        <f t="shared" si="5"/>
        <v>2100</v>
      </c>
    </row>
    <row r="8" spans="1:11" x14ac:dyDescent="0.35">
      <c r="A8">
        <v>5500</v>
      </c>
      <c r="B8">
        <v>0.6</v>
      </c>
      <c r="C8">
        <f t="shared" si="0"/>
        <v>3300</v>
      </c>
      <c r="F8" s="44">
        <v>8</v>
      </c>
      <c r="G8" s="47">
        <f t="shared" si="1"/>
        <v>1920</v>
      </c>
      <c r="H8" s="46">
        <f t="shared" si="2"/>
        <v>2040</v>
      </c>
      <c r="I8" s="46">
        <f t="shared" si="3"/>
        <v>2160</v>
      </c>
      <c r="J8" s="45">
        <f t="shared" si="4"/>
        <v>2280</v>
      </c>
      <c r="K8" s="45">
        <f t="shared" si="5"/>
        <v>2400</v>
      </c>
    </row>
    <row r="9" spans="1:11" x14ac:dyDescent="0.35">
      <c r="A9">
        <v>5501</v>
      </c>
      <c r="B9">
        <v>0.55000000000000004</v>
      </c>
      <c r="C9">
        <f t="shared" si="0"/>
        <v>3025.55</v>
      </c>
      <c r="F9" s="44">
        <v>9</v>
      </c>
      <c r="G9" s="43">
        <f t="shared" si="1"/>
        <v>2160</v>
      </c>
      <c r="H9" s="42">
        <f t="shared" si="2"/>
        <v>2295</v>
      </c>
      <c r="I9" s="42">
        <f t="shared" si="3"/>
        <v>2430</v>
      </c>
      <c r="J9" s="41">
        <f t="shared" si="4"/>
        <v>2565</v>
      </c>
      <c r="K9" s="41">
        <f t="shared" si="5"/>
        <v>2700</v>
      </c>
    </row>
    <row r="10" spans="1:11" x14ac:dyDescent="0.35">
      <c r="A10">
        <v>7500</v>
      </c>
      <c r="B10">
        <v>0.55000000000000004</v>
      </c>
      <c r="C10">
        <f t="shared" si="0"/>
        <v>4125</v>
      </c>
      <c r="F10" s="44">
        <v>10</v>
      </c>
      <c r="G10" s="43">
        <f t="shared" si="1"/>
        <v>2400</v>
      </c>
      <c r="H10" s="42">
        <f t="shared" si="2"/>
        <v>2550</v>
      </c>
      <c r="I10" s="42">
        <f t="shared" si="3"/>
        <v>2700</v>
      </c>
      <c r="J10" s="41">
        <f t="shared" si="4"/>
        <v>2850</v>
      </c>
      <c r="K10" s="41">
        <f t="shared" si="5"/>
        <v>3000</v>
      </c>
    </row>
    <row r="11" spans="1:11" x14ac:dyDescent="0.35">
      <c r="A11">
        <v>7501</v>
      </c>
      <c r="B11">
        <v>0.5</v>
      </c>
      <c r="C11">
        <f t="shared" si="0"/>
        <v>3750.5</v>
      </c>
      <c r="F11" s="44">
        <v>11</v>
      </c>
      <c r="G11" s="43">
        <f t="shared" si="1"/>
        <v>2640</v>
      </c>
      <c r="H11" s="42">
        <f t="shared" si="2"/>
        <v>2805</v>
      </c>
      <c r="I11" s="42">
        <f t="shared" si="3"/>
        <v>2970</v>
      </c>
      <c r="J11" s="41">
        <f t="shared" si="4"/>
        <v>3135</v>
      </c>
      <c r="K11" s="41">
        <f t="shared" si="5"/>
        <v>3300</v>
      </c>
    </row>
    <row r="12" spans="1:11" x14ac:dyDescent="0.35">
      <c r="F12" s="44">
        <v>12</v>
      </c>
      <c r="G12" s="43">
        <f t="shared" si="1"/>
        <v>2880</v>
      </c>
      <c r="H12" s="42">
        <f t="shared" si="2"/>
        <v>3060</v>
      </c>
      <c r="I12" s="42">
        <f t="shared" si="3"/>
        <v>3240</v>
      </c>
      <c r="J12" s="41">
        <f t="shared" si="4"/>
        <v>3420</v>
      </c>
      <c r="K12" s="41">
        <f t="shared" si="5"/>
        <v>3600</v>
      </c>
    </row>
    <row r="13" spans="1:11" x14ac:dyDescent="0.35">
      <c r="A13" s="54" t="s">
        <v>21</v>
      </c>
      <c r="B13" s="54"/>
      <c r="C13" s="54"/>
      <c r="F13" s="44">
        <v>13</v>
      </c>
      <c r="G13" s="43">
        <f t="shared" si="1"/>
        <v>3120</v>
      </c>
      <c r="H13" s="42">
        <f t="shared" si="2"/>
        <v>3315</v>
      </c>
      <c r="I13" s="42">
        <f t="shared" si="3"/>
        <v>3510</v>
      </c>
      <c r="J13" s="41">
        <f t="shared" si="4"/>
        <v>3705</v>
      </c>
      <c r="K13" s="41">
        <f t="shared" si="5"/>
        <v>3900</v>
      </c>
    </row>
    <row r="14" spans="1:11" x14ac:dyDescent="0.35">
      <c r="A14">
        <v>1500</v>
      </c>
      <c r="B14">
        <v>0.9</v>
      </c>
      <c r="C14">
        <f t="shared" ref="C14:C21" si="6">A14*B14</f>
        <v>1350</v>
      </c>
      <c r="F14" s="44">
        <v>14</v>
      </c>
      <c r="G14" s="43">
        <f t="shared" si="1"/>
        <v>3360</v>
      </c>
      <c r="H14" s="42">
        <f t="shared" si="2"/>
        <v>3570</v>
      </c>
      <c r="I14" s="42">
        <f t="shared" si="3"/>
        <v>3780</v>
      </c>
      <c r="J14" s="41">
        <f t="shared" si="4"/>
        <v>3990</v>
      </c>
      <c r="K14" s="41">
        <f t="shared" si="5"/>
        <v>4200</v>
      </c>
    </row>
    <row r="15" spans="1:11" x14ac:dyDescent="0.35">
      <c r="A15">
        <v>1501</v>
      </c>
      <c r="B15">
        <v>0.75</v>
      </c>
      <c r="C15">
        <f t="shared" si="6"/>
        <v>1125.75</v>
      </c>
      <c r="F15" s="40">
        <v>15</v>
      </c>
      <c r="G15" s="39">
        <f t="shared" si="1"/>
        <v>3600</v>
      </c>
      <c r="H15" s="38">
        <f t="shared" si="2"/>
        <v>3825</v>
      </c>
      <c r="I15" s="38">
        <f t="shared" si="3"/>
        <v>4050</v>
      </c>
      <c r="J15" s="37">
        <f t="shared" si="4"/>
        <v>4275</v>
      </c>
      <c r="K15" s="37">
        <f t="shared" si="5"/>
        <v>4500</v>
      </c>
    </row>
    <row r="16" spans="1:11" x14ac:dyDescent="0.35">
      <c r="A16">
        <v>2500</v>
      </c>
      <c r="B16">
        <v>0.75</v>
      </c>
      <c r="C16">
        <f t="shared" si="6"/>
        <v>1875</v>
      </c>
      <c r="E16" s="55" t="s">
        <v>22</v>
      </c>
      <c r="F16" s="56"/>
      <c r="G16" s="56"/>
      <c r="H16" s="56"/>
      <c r="I16" s="56"/>
      <c r="J16" s="56"/>
      <c r="K16" s="57"/>
    </row>
    <row r="17" spans="1:11" ht="15" customHeight="1" x14ac:dyDescent="0.35">
      <c r="A17">
        <v>2501</v>
      </c>
      <c r="B17">
        <v>0.7</v>
      </c>
      <c r="C17">
        <f t="shared" si="6"/>
        <v>1750.6999999999998</v>
      </c>
      <c r="E17" s="36"/>
      <c r="F17" s="35" t="s">
        <v>10</v>
      </c>
      <c r="G17" s="34">
        <f>(0.35*18.5*G2)/60</f>
        <v>1554</v>
      </c>
      <c r="H17" s="34">
        <f>(0.35*18.5*H2)/60</f>
        <v>1651.125</v>
      </c>
      <c r="I17" s="34">
        <f>(0.35*18.5*I2)/60</f>
        <v>1748.25</v>
      </c>
      <c r="J17" s="34">
        <f>(0.35*18.5*J2)/60</f>
        <v>1845.375</v>
      </c>
      <c r="K17" s="34">
        <f>(0.35*18.5*K2)/60</f>
        <v>1942.5</v>
      </c>
    </row>
    <row r="18" spans="1:11" ht="15" customHeight="1" x14ac:dyDescent="0.35">
      <c r="A18">
        <v>4000</v>
      </c>
      <c r="B18">
        <v>0.7</v>
      </c>
      <c r="C18">
        <f t="shared" si="6"/>
        <v>2800</v>
      </c>
      <c r="E18" s="58" t="s">
        <v>20</v>
      </c>
      <c r="F18" s="33">
        <v>1500</v>
      </c>
      <c r="G18" s="32">
        <f>(1500+$G$17)/2</f>
        <v>1527</v>
      </c>
      <c r="H18" s="32">
        <f>(1500+$H$17)/2</f>
        <v>1575.5625</v>
      </c>
      <c r="I18" s="32">
        <f>(1500+$I$17)/2</f>
        <v>1624.125</v>
      </c>
      <c r="J18" s="32">
        <f>(1500+$J$17)/2</f>
        <v>1672.6875</v>
      </c>
      <c r="K18" s="32">
        <f>(1500+$K$17)/2</f>
        <v>1721.25</v>
      </c>
    </row>
    <row r="19" spans="1:11" ht="15" customHeight="1" x14ac:dyDescent="0.35">
      <c r="A19">
        <v>4001</v>
      </c>
      <c r="B19">
        <v>0.6</v>
      </c>
      <c r="C19">
        <f t="shared" si="6"/>
        <v>2400.6</v>
      </c>
      <c r="E19" s="59"/>
      <c r="F19" s="33">
        <v>2500</v>
      </c>
      <c r="G19" s="32">
        <f>(1875+$G$17)/2</f>
        <v>1714.5</v>
      </c>
      <c r="H19" s="32">
        <f>(1875+$H$17)/2</f>
        <v>1763.0625</v>
      </c>
      <c r="I19" s="32">
        <f>(1875+$I$17)/2</f>
        <v>1811.625</v>
      </c>
      <c r="J19" s="32">
        <f>(1875+$J$17)/2</f>
        <v>1860.1875</v>
      </c>
      <c r="K19" s="32">
        <f>(1875+$K$17)/2</f>
        <v>1908.75</v>
      </c>
    </row>
    <row r="20" spans="1:11" x14ac:dyDescent="0.35">
      <c r="A20">
        <v>5000</v>
      </c>
      <c r="B20">
        <v>0.6</v>
      </c>
      <c r="C20">
        <f t="shared" si="6"/>
        <v>3000</v>
      </c>
      <c r="E20" s="59"/>
      <c r="F20" s="33">
        <v>3774</v>
      </c>
      <c r="G20" s="32">
        <f>(2641.8+$G$17)/2</f>
        <v>2097.9</v>
      </c>
      <c r="H20" s="32">
        <f>(2641.8+$H$17)/2</f>
        <v>2146.4625000000001</v>
      </c>
      <c r="I20" s="32">
        <f>(2641.8+$I$17)/2</f>
        <v>2195.0250000000001</v>
      </c>
      <c r="J20" s="32">
        <f>(2641.8+$J$17)/2</f>
        <v>2243.5875000000001</v>
      </c>
      <c r="K20" s="32">
        <f>(2641.8+$K$17)/2</f>
        <v>2292.15</v>
      </c>
    </row>
    <row r="21" spans="1:11" x14ac:dyDescent="0.35">
      <c r="A21">
        <v>7501</v>
      </c>
      <c r="B21">
        <v>0.5</v>
      </c>
      <c r="C21">
        <f t="shared" si="6"/>
        <v>3750.5</v>
      </c>
      <c r="E21" s="59"/>
      <c r="F21" s="33">
        <v>4500</v>
      </c>
      <c r="G21" s="32">
        <f>(2700+$G$17)/2</f>
        <v>2127</v>
      </c>
      <c r="H21" s="32">
        <f>(2700+$H$17)/2</f>
        <v>2175.5625</v>
      </c>
      <c r="I21" s="32">
        <f>(2700+$I$17)/2</f>
        <v>2224.125</v>
      </c>
      <c r="J21" s="32">
        <f>(2700+$J$17)/2</f>
        <v>2272.6875</v>
      </c>
      <c r="K21" s="32">
        <f>(2700+$K$17)/2</f>
        <v>2321.25</v>
      </c>
    </row>
    <row r="22" spans="1:11" x14ac:dyDescent="0.35">
      <c r="E22" s="59"/>
      <c r="F22" s="33">
        <v>5500</v>
      </c>
      <c r="G22" s="32">
        <f>(3300+$G$17)/2</f>
        <v>2427</v>
      </c>
      <c r="H22" s="32">
        <f>(3300+$H$17)/2</f>
        <v>2475.5625</v>
      </c>
      <c r="I22" s="32">
        <f>(3300+$I$17)/2</f>
        <v>2524.125</v>
      </c>
      <c r="J22" s="32">
        <f>(3300+$J$17)/2</f>
        <v>2572.6875</v>
      </c>
      <c r="K22" s="32">
        <f>(3300+$K$17)/2</f>
        <v>2621.25</v>
      </c>
    </row>
    <row r="23" spans="1:11" x14ac:dyDescent="0.35">
      <c r="E23" s="59"/>
      <c r="F23" s="33">
        <v>6500</v>
      </c>
      <c r="G23" s="32">
        <f>(3575+$G$17)/2</f>
        <v>2564.5</v>
      </c>
      <c r="H23" s="32">
        <f>(3575+$H$17)/2</f>
        <v>2613.0625</v>
      </c>
      <c r="I23" s="32">
        <f>(3575+$I$17)/2</f>
        <v>2661.625</v>
      </c>
      <c r="J23" s="32">
        <f>(3575+$J$17)/2</f>
        <v>2710.1875</v>
      </c>
      <c r="K23" s="32">
        <f>(3575+$K$17)/2</f>
        <v>2758.75</v>
      </c>
    </row>
    <row r="24" spans="1:11" x14ac:dyDescent="0.35">
      <c r="E24" s="60"/>
      <c r="F24" s="33">
        <v>7501</v>
      </c>
      <c r="G24" s="32">
        <f>(3750.5+$G$17)/2</f>
        <v>2652.25</v>
      </c>
      <c r="H24" s="32">
        <f>(3750.5+$H$17)/2</f>
        <v>2700.8125</v>
      </c>
      <c r="I24" s="32">
        <f>(3750.5+$I$17)/2</f>
        <v>2749.375</v>
      </c>
      <c r="J24" s="32">
        <f>(3750.5+$J$17)/2</f>
        <v>2797.9375</v>
      </c>
      <c r="K24" s="32">
        <f>(3750.5+$K$17)/2</f>
        <v>2846.5</v>
      </c>
    </row>
    <row r="26" spans="1:11" x14ac:dyDescent="0.35">
      <c r="E26" s="55" t="s">
        <v>21</v>
      </c>
      <c r="F26" s="56"/>
      <c r="G26" s="56"/>
      <c r="H26" s="56"/>
      <c r="I26" s="56"/>
      <c r="J26" s="56"/>
      <c r="K26" s="57"/>
    </row>
    <row r="27" spans="1:11" x14ac:dyDescent="0.35">
      <c r="E27" s="36"/>
      <c r="F27" s="35" t="s">
        <v>10</v>
      </c>
      <c r="G27" s="34">
        <f>(0.35*18.5*G2)/60</f>
        <v>1554</v>
      </c>
      <c r="H27" s="34">
        <f>(0.35*18.5*H2)/60</f>
        <v>1651.125</v>
      </c>
      <c r="I27" s="34">
        <f>(0.35*18.5*I2)/60</f>
        <v>1748.25</v>
      </c>
      <c r="J27" s="34">
        <f>(0.35*18.5*J2)/60</f>
        <v>1845.375</v>
      </c>
      <c r="K27" s="34">
        <f>(0.35*18.5*K2)/60</f>
        <v>1942.5</v>
      </c>
    </row>
    <row r="28" spans="1:11" x14ac:dyDescent="0.35">
      <c r="E28" s="53" t="s">
        <v>20</v>
      </c>
      <c r="F28" s="33">
        <v>1500</v>
      </c>
      <c r="G28" s="32">
        <f>(1350+$G$17)/2</f>
        <v>1452</v>
      </c>
      <c r="H28" s="32">
        <f>(1350+$H$17)/2</f>
        <v>1500.5625</v>
      </c>
      <c r="I28" s="32">
        <f>(1350+$I$17)/2</f>
        <v>1549.125</v>
      </c>
      <c r="J28" s="32">
        <f>(1350+$J$17)/2</f>
        <v>1597.6875</v>
      </c>
      <c r="K28" s="32">
        <f>(1350+$K$17)/2</f>
        <v>1646.25</v>
      </c>
    </row>
    <row r="29" spans="1:11" ht="15" customHeight="1" x14ac:dyDescent="0.35">
      <c r="E29" s="53"/>
      <c r="F29" s="33">
        <v>2500</v>
      </c>
      <c r="G29" s="32">
        <f>(1875+$G$17)/2</f>
        <v>1714.5</v>
      </c>
      <c r="H29" s="32">
        <f>(1875+$H$17)/2</f>
        <v>1763.0625</v>
      </c>
      <c r="I29" s="32">
        <f>(1875+$I$17)/2</f>
        <v>1811.625</v>
      </c>
      <c r="J29" s="32">
        <f>(1875+$J$17)/2</f>
        <v>1860.1875</v>
      </c>
      <c r="K29" s="32">
        <f>(1875+$K$17)/2</f>
        <v>1908.75</v>
      </c>
    </row>
    <row r="30" spans="1:11" x14ac:dyDescent="0.35">
      <c r="E30" s="53"/>
      <c r="F30" s="33">
        <v>3774</v>
      </c>
      <c r="G30" s="32">
        <f>(2641.8+$G$17)/2</f>
        <v>2097.9</v>
      </c>
      <c r="H30" s="32">
        <f>(2641.8+$H$17)/2</f>
        <v>2146.4625000000001</v>
      </c>
      <c r="I30" s="32">
        <f>(2641.8+$I$17)/2</f>
        <v>2195.0250000000001</v>
      </c>
      <c r="J30" s="32">
        <f>(2641.8+$J$17)/2</f>
        <v>2243.5875000000001</v>
      </c>
      <c r="K30" s="32">
        <f>(2641.8+$K$17)/2</f>
        <v>2292.15</v>
      </c>
    </row>
    <row r="31" spans="1:11" x14ac:dyDescent="0.35">
      <c r="E31" s="53"/>
      <c r="F31" s="33">
        <v>4500</v>
      </c>
      <c r="G31" s="32">
        <f>(2700+$G$17)/2</f>
        <v>2127</v>
      </c>
      <c r="H31" s="32">
        <f>(2700+$H$17)/2</f>
        <v>2175.5625</v>
      </c>
      <c r="I31" s="32">
        <f>(2700+$I$17)/2</f>
        <v>2224.125</v>
      </c>
      <c r="J31" s="32">
        <f>(2700+$J$17)/2</f>
        <v>2272.6875</v>
      </c>
      <c r="K31" s="32">
        <f>(2700+$K$17)/2</f>
        <v>2321.25</v>
      </c>
    </row>
    <row r="32" spans="1:11" x14ac:dyDescent="0.35">
      <c r="E32" s="53"/>
      <c r="F32" s="33">
        <v>5500</v>
      </c>
      <c r="G32" s="32">
        <f>(2750+$G$17)/2</f>
        <v>2152</v>
      </c>
      <c r="H32" s="32">
        <f>(2750+$H$17)/2</f>
        <v>2200.5625</v>
      </c>
      <c r="I32" s="32">
        <f>(2750+$I$17)/2</f>
        <v>2249.125</v>
      </c>
      <c r="J32" s="32">
        <f>(2750+$J$17)/2</f>
        <v>2297.6875</v>
      </c>
      <c r="K32" s="32">
        <f>(2750+$K$17)/2</f>
        <v>2346.25</v>
      </c>
    </row>
    <row r="33" spans="5:11" x14ac:dyDescent="0.35">
      <c r="E33" s="53"/>
      <c r="F33" s="33">
        <v>6500</v>
      </c>
      <c r="G33" s="32">
        <f>(3250+$G$17)/2</f>
        <v>2402</v>
      </c>
      <c r="H33" s="32">
        <f>(3250+$H$17)/2</f>
        <v>2450.5625</v>
      </c>
      <c r="I33" s="32">
        <f>(3250+$I$17)/2</f>
        <v>2499.125</v>
      </c>
      <c r="J33" s="32">
        <f>(3250+$J$17)/2</f>
        <v>2547.6875</v>
      </c>
      <c r="K33" s="32">
        <f>(3250+$K$17)/2</f>
        <v>2596.25</v>
      </c>
    </row>
    <row r="34" spans="5:11" x14ac:dyDescent="0.35">
      <c r="E34" s="53"/>
      <c r="F34" s="33">
        <v>7501</v>
      </c>
      <c r="G34" s="32">
        <f>(3750.5+$G$17)/2</f>
        <v>2652.25</v>
      </c>
      <c r="H34" s="32">
        <f>(3750.5+$H$17)/2</f>
        <v>2700.8125</v>
      </c>
      <c r="I34" s="32">
        <f>(3750.5+$I$17)/2</f>
        <v>2749.375</v>
      </c>
      <c r="J34" s="32">
        <f>(3750.5+$J$17)/2</f>
        <v>2797.9375</v>
      </c>
      <c r="K34" s="32">
        <f>(3750.5+$K$17)/2</f>
        <v>2846.5</v>
      </c>
    </row>
    <row r="35" spans="5:11" x14ac:dyDescent="0.35">
      <c r="E35" s="31"/>
    </row>
  </sheetData>
  <sheetProtection algorithmName="SHA-512" hashValue="fPikNNUvImnYh2rJrlyNOnS8uJ1vc/ubZBMWFvx64J6DwaiSQOLbild8Hbl/SWhPKISXW/2GD6XKN09sE56z6g==" saltValue="b59NUaAt0GNyMDJeQRQo9w==" spinCount="100000" sheet="1" objects="1" scenarios="1"/>
  <mergeCells count="6">
    <mergeCell ref="E28:E34"/>
    <mergeCell ref="A1:C1"/>
    <mergeCell ref="A13:C13"/>
    <mergeCell ref="E16:K16"/>
    <mergeCell ref="E18:E24"/>
    <mergeCell ref="E26:K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FORM</vt:lpstr>
      <vt:lpstr>Reduction Formulas 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Kye Garvin</dc:creator>
  <cp:lastModifiedBy>Ian Gray</cp:lastModifiedBy>
  <cp:lastPrinted>2020-02-27T21:16:51Z</cp:lastPrinted>
  <dcterms:created xsi:type="dcterms:W3CDTF">2020-01-08T22:40:52Z</dcterms:created>
  <dcterms:modified xsi:type="dcterms:W3CDTF">2021-01-07T16:10:41Z</dcterms:modified>
</cp:coreProperties>
</file>