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ASCSP-ARCHIVE\WAP\Member Portal Resources\Spend &amp; Production\"/>
    </mc:Choice>
  </mc:AlternateContent>
  <xr:revisionPtr revIDLastSave="0" documentId="8_{716FBC75-20A0-4082-96B3-486296146951}" xr6:coauthVersionLast="47" xr6:coauthVersionMax="47" xr10:uidLastSave="{00000000-0000-0000-0000-000000000000}"/>
  <bookViews>
    <workbookView xWindow="-110" yWindow="-110" windowWidth="19420" windowHeight="10420" xr2:uid="{0104E529-635F-4073-8997-4EAC3458FA1B}"/>
  </bookViews>
  <sheets>
    <sheet name="Agency S&amp;P 2021-22" sheetId="1" r:id="rId1"/>
  </sheets>
  <externalReferences>
    <externalReference r:id="rId2"/>
    <externalReference r:id="rId3"/>
  </externalReferences>
  <definedNames>
    <definedName name="DaysInYear">365</definedName>
    <definedName name="lstClasses">[1]!tblClasses[Classes you are taking]</definedName>
    <definedName name="lstTypes">[1]!tblClasses[[#Headers],[Homework]:[Other]]</definedName>
    <definedName name="MonthsInYear">12</definedName>
    <definedName name="PaymentsLeftThreshold" localSheetId="0">#REF!</definedName>
    <definedName name="PaymentsLeftThreshold">#REF!</definedName>
    <definedName name="ProjectType">[2]!tblParameters[Contract Type]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1" l="1"/>
  <c r="Y18" i="1"/>
  <c r="Z18" i="1" s="1"/>
  <c r="X18" i="1"/>
  <c r="U18" i="1"/>
  <c r="T18" i="1"/>
  <c r="P18" i="1"/>
  <c r="Q18" i="1" s="1"/>
  <c r="O18" i="1"/>
  <c r="L18" i="1"/>
  <c r="K18" i="1"/>
  <c r="J18" i="1"/>
  <c r="H18" i="1"/>
  <c r="G18" i="1"/>
  <c r="F18" i="1"/>
  <c r="C18" i="1"/>
  <c r="AJ17" i="1"/>
  <c r="AK17" i="1" s="1"/>
  <c r="AI17" i="1"/>
  <c r="AF17" i="1"/>
  <c r="AE17" i="1"/>
  <c r="AA17" i="1"/>
  <c r="Z17" i="1"/>
  <c r="W17" i="1"/>
  <c r="V17" i="1"/>
  <c r="R17" i="1"/>
  <c r="Q17" i="1"/>
  <c r="N17" i="1"/>
  <c r="M17" i="1"/>
  <c r="I17" i="1"/>
  <c r="H17" i="1"/>
  <c r="E17" i="1"/>
  <c r="D17" i="1"/>
  <c r="AG17" i="1" s="1"/>
  <c r="AH17" i="1" s="1"/>
  <c r="AJ16" i="1"/>
  <c r="AK16" i="1" s="1"/>
  <c r="AI16" i="1"/>
  <c r="AF16" i="1"/>
  <c r="AE16" i="1"/>
  <c r="AA16" i="1"/>
  <c r="Z16" i="1"/>
  <c r="W16" i="1"/>
  <c r="V16" i="1"/>
  <c r="R16" i="1"/>
  <c r="Q16" i="1"/>
  <c r="M16" i="1"/>
  <c r="N16" i="1" s="1"/>
  <c r="I16" i="1"/>
  <c r="H16" i="1"/>
  <c r="E16" i="1"/>
  <c r="D16" i="1"/>
  <c r="AG16" i="1" s="1"/>
  <c r="AH16" i="1" s="1"/>
  <c r="B16" i="1"/>
  <c r="AJ15" i="1"/>
  <c r="AI15" i="1"/>
  <c r="AK15" i="1" s="1"/>
  <c r="AF15" i="1"/>
  <c r="AA15" i="1"/>
  <c r="Z15" i="1"/>
  <c r="V15" i="1"/>
  <c r="W15" i="1" s="1"/>
  <c r="R15" i="1"/>
  <c r="Q15" i="1"/>
  <c r="N15" i="1"/>
  <c r="M15" i="1"/>
  <c r="H15" i="1"/>
  <c r="D15" i="1"/>
  <c r="E15" i="1" s="1"/>
  <c r="B15" i="1"/>
  <c r="AE15" i="1" s="1"/>
  <c r="AJ14" i="1"/>
  <c r="AK14" i="1" s="1"/>
  <c r="AI14" i="1"/>
  <c r="AF14" i="1"/>
  <c r="AE14" i="1"/>
  <c r="AA14" i="1"/>
  <c r="Z14" i="1"/>
  <c r="W14" i="1"/>
  <c r="V14" i="1"/>
  <c r="R14" i="1"/>
  <c r="Q14" i="1"/>
  <c r="M14" i="1"/>
  <c r="AG14" i="1" s="1"/>
  <c r="AH14" i="1" s="1"/>
  <c r="I14" i="1"/>
  <c r="H14" i="1"/>
  <c r="E14" i="1"/>
  <c r="D14" i="1"/>
  <c r="AJ13" i="1"/>
  <c r="AK13" i="1" s="1"/>
  <c r="AI13" i="1"/>
  <c r="AF13" i="1"/>
  <c r="AE13" i="1"/>
  <c r="AA13" i="1"/>
  <c r="Z13" i="1"/>
  <c r="W13" i="1"/>
  <c r="V13" i="1"/>
  <c r="R13" i="1"/>
  <c r="Q13" i="1"/>
  <c r="M13" i="1"/>
  <c r="AG13" i="1" s="1"/>
  <c r="AH13" i="1" s="1"/>
  <c r="I13" i="1"/>
  <c r="H13" i="1"/>
  <c r="E13" i="1"/>
  <c r="D13" i="1"/>
  <c r="AK12" i="1"/>
  <c r="AJ12" i="1"/>
  <c r="AI12" i="1"/>
  <c r="AF12" i="1"/>
  <c r="AA12" i="1"/>
  <c r="Z12" i="1"/>
  <c r="W12" i="1"/>
  <c r="V12" i="1"/>
  <c r="R12" i="1"/>
  <c r="Q12" i="1"/>
  <c r="M12" i="1"/>
  <c r="N12" i="1" s="1"/>
  <c r="H12" i="1"/>
  <c r="B12" i="1"/>
  <c r="AE12" i="1" s="1"/>
  <c r="AK11" i="1"/>
  <c r="AJ11" i="1"/>
  <c r="AI11" i="1"/>
  <c r="AG11" i="1"/>
  <c r="AH11" i="1" s="1"/>
  <c r="AF11" i="1"/>
  <c r="AE11" i="1"/>
  <c r="AA11" i="1"/>
  <c r="Z11" i="1"/>
  <c r="V11" i="1"/>
  <c r="W11" i="1" s="1"/>
  <c r="R11" i="1"/>
  <c r="Q11" i="1"/>
  <c r="N11" i="1"/>
  <c r="M11" i="1"/>
  <c r="I11" i="1"/>
  <c r="H11" i="1"/>
  <c r="D11" i="1"/>
  <c r="E11" i="1" s="1"/>
  <c r="AJ10" i="1"/>
  <c r="AK10" i="1" s="1"/>
  <c r="AI10" i="1"/>
  <c r="AF10" i="1"/>
  <c r="AA10" i="1"/>
  <c r="Z10" i="1"/>
  <c r="W10" i="1"/>
  <c r="V10" i="1"/>
  <c r="R10" i="1"/>
  <c r="Q10" i="1"/>
  <c r="N10" i="1"/>
  <c r="M10" i="1"/>
  <c r="I10" i="1"/>
  <c r="H10" i="1"/>
  <c r="E10" i="1"/>
  <c r="D10" i="1"/>
  <c r="AG10" i="1" s="1"/>
  <c r="B10" i="1"/>
  <c r="AE10" i="1" s="1"/>
  <c r="AJ9" i="1"/>
  <c r="AK9" i="1" s="1"/>
  <c r="AI9" i="1"/>
  <c r="AF9" i="1"/>
  <c r="AE9" i="1"/>
  <c r="AA9" i="1"/>
  <c r="Z9" i="1"/>
  <c r="W9" i="1"/>
  <c r="V9" i="1"/>
  <c r="R9" i="1"/>
  <c r="Q9" i="1"/>
  <c r="N9" i="1"/>
  <c r="M9" i="1"/>
  <c r="AG9" i="1" s="1"/>
  <c r="AH9" i="1" s="1"/>
  <c r="I9" i="1"/>
  <c r="H9" i="1"/>
  <c r="E9" i="1"/>
  <c r="D9" i="1"/>
  <c r="AJ8" i="1"/>
  <c r="AI8" i="1"/>
  <c r="AK8" i="1" s="1"/>
  <c r="AF8" i="1"/>
  <c r="AE8" i="1"/>
  <c r="AA8" i="1"/>
  <c r="Z8" i="1"/>
  <c r="V8" i="1"/>
  <c r="W8" i="1" s="1"/>
  <c r="R8" i="1"/>
  <c r="Q8" i="1"/>
  <c r="M8" i="1"/>
  <c r="N8" i="1" s="1"/>
  <c r="H8" i="1"/>
  <c r="D8" i="1"/>
  <c r="E8" i="1" s="1"/>
  <c r="B8" i="1"/>
  <c r="I8" i="1" s="1"/>
  <c r="AJ7" i="1"/>
  <c r="AK7" i="1" s="1"/>
  <c r="AI7" i="1"/>
  <c r="AF7" i="1"/>
  <c r="AE7" i="1"/>
  <c r="AA7" i="1"/>
  <c r="Z7" i="1"/>
  <c r="V7" i="1"/>
  <c r="W7" i="1" s="1"/>
  <c r="R7" i="1"/>
  <c r="Q7" i="1"/>
  <c r="M7" i="1"/>
  <c r="N7" i="1" s="1"/>
  <c r="I7" i="1"/>
  <c r="H7" i="1"/>
  <c r="D7" i="1"/>
  <c r="AG7" i="1" s="1"/>
  <c r="AH7" i="1" s="1"/>
  <c r="AJ6" i="1"/>
  <c r="AK6" i="1" s="1"/>
  <c r="AI6" i="1"/>
  <c r="AF6" i="1"/>
  <c r="AE6" i="1"/>
  <c r="AA6" i="1"/>
  <c r="Z6" i="1"/>
  <c r="W6" i="1"/>
  <c r="V6" i="1"/>
  <c r="R6" i="1"/>
  <c r="Q6" i="1"/>
  <c r="N6" i="1"/>
  <c r="M6" i="1"/>
  <c r="AG6" i="1" s="1"/>
  <c r="AH6" i="1" s="1"/>
  <c r="I6" i="1"/>
  <c r="H6" i="1"/>
  <c r="E6" i="1"/>
  <c r="D6" i="1"/>
  <c r="AK5" i="1"/>
  <c r="AJ5" i="1"/>
  <c r="AI5" i="1"/>
  <c r="AG5" i="1"/>
  <c r="AF5" i="1"/>
  <c r="AA5" i="1"/>
  <c r="Z5" i="1"/>
  <c r="V5" i="1"/>
  <c r="W5" i="1" s="1"/>
  <c r="R5" i="1"/>
  <c r="Q5" i="1"/>
  <c r="M5" i="1"/>
  <c r="N5" i="1" s="1"/>
  <c r="H5" i="1"/>
  <c r="D5" i="1"/>
  <c r="E5" i="1" s="1"/>
  <c r="B5" i="1"/>
  <c r="B18" i="1" s="1"/>
  <c r="AK4" i="1"/>
  <c r="AJ4" i="1"/>
  <c r="AJ18" i="1" s="1"/>
  <c r="AI4" i="1"/>
  <c r="AI18" i="1" s="1"/>
  <c r="AG4" i="1"/>
  <c r="AH4" i="1" s="1"/>
  <c r="AF4" i="1"/>
  <c r="AF18" i="1" s="1"/>
  <c r="AE4" i="1"/>
  <c r="AA4" i="1"/>
  <c r="Z4" i="1"/>
  <c r="V4" i="1"/>
  <c r="V18" i="1" s="1"/>
  <c r="R4" i="1"/>
  <c r="Q4" i="1"/>
  <c r="M4" i="1"/>
  <c r="N4" i="1" s="1"/>
  <c r="I4" i="1"/>
  <c r="H4" i="1"/>
  <c r="D4" i="1"/>
  <c r="D18" i="1" l="1"/>
  <c r="AK18" i="1"/>
  <c r="AH10" i="1"/>
  <c r="AA18" i="1"/>
  <c r="W18" i="1"/>
  <c r="E4" i="1"/>
  <c r="W4" i="1"/>
  <c r="I15" i="1"/>
  <c r="E7" i="1"/>
  <c r="M18" i="1"/>
  <c r="AG8" i="1"/>
  <c r="AH8" i="1" s="1"/>
  <c r="D12" i="1"/>
  <c r="N13" i="1"/>
  <c r="AG15" i="1"/>
  <c r="AH15" i="1" s="1"/>
  <c r="I5" i="1"/>
  <c r="I12" i="1"/>
  <c r="N14" i="1"/>
  <c r="AE5" i="1"/>
  <c r="AE18" i="1" s="1"/>
  <c r="I18" i="1" l="1"/>
  <c r="E18" i="1"/>
  <c r="E12" i="1"/>
  <c r="AG12" i="1"/>
  <c r="R18" i="1"/>
  <c r="N18" i="1"/>
  <c r="AH5" i="1"/>
  <c r="AH12" i="1" l="1"/>
  <c r="AG18" i="1"/>
  <c r="AH18" i="1" s="1"/>
</calcChain>
</file>

<file path=xl/sharedStrings.xml><?xml version="1.0" encoding="utf-8"?>
<sst xmlns="http://schemas.openxmlformats.org/spreadsheetml/2006/main" count="59" uniqueCount="56">
  <si>
    <t xml:space="preserve">Updated: </t>
  </si>
  <si>
    <t>Updated by:</t>
  </si>
  <si>
    <t>SHW</t>
  </si>
  <si>
    <t xml:space="preserve">Agency </t>
  </si>
  <si>
    <t>DOE 
2021-22</t>
  </si>
  <si>
    <t>DOE 
Balance</t>
  </si>
  <si>
    <t>DOE
Spent</t>
  </si>
  <si>
    <t>DOE % Spent</t>
  </si>
  <si>
    <t xml:space="preserve">DOE Units Required </t>
  </si>
  <si>
    <t>DOE Units Completed</t>
  </si>
  <si>
    <t>% DOE Units Completed</t>
  </si>
  <si>
    <t>DOE
TCPU</t>
  </si>
  <si>
    <t>DOE
Reallocation</t>
  </si>
  <si>
    <t>HHS 
2021-22</t>
  </si>
  <si>
    <t>HHS
Balance</t>
  </si>
  <si>
    <t>HHS
Spent</t>
  </si>
  <si>
    <t>HHS % Spent</t>
  </si>
  <si>
    <t>HHS Units Required</t>
  </si>
  <si>
    <t xml:space="preserve">HHS Units Completed </t>
  </si>
  <si>
    <t>% HHS Units Completed</t>
  </si>
  <si>
    <t>HHS
TCPU</t>
  </si>
  <si>
    <t>HHS
Reallocation</t>
  </si>
  <si>
    <t>DHS ARPA
2021-22</t>
  </si>
  <si>
    <t>ARPA
Balance</t>
  </si>
  <si>
    <t>ARPA
Spent</t>
  </si>
  <si>
    <t>ARPA % Spent</t>
  </si>
  <si>
    <t>ARPA Units Required</t>
  </si>
  <si>
    <t>ARPA Units Completed</t>
  </si>
  <si>
    <t>% ARPA Units Completed</t>
  </si>
  <si>
    <t>ARPA
TCPU</t>
  </si>
  <si>
    <t>ARPA
Reallocation</t>
  </si>
  <si>
    <t>Agency</t>
  </si>
  <si>
    <t>All Funds 
Budget</t>
  </si>
  <si>
    <t>All Funds 
Balance</t>
  </si>
  <si>
    <t>All Funds 
Spent</t>
  </si>
  <si>
    <t>All Funds 
% Spent</t>
  </si>
  <si>
    <t>All Units Required</t>
  </si>
  <si>
    <t>All Units Completed</t>
  </si>
  <si>
    <t>% All Units Completed</t>
  </si>
  <si>
    <t>Total</t>
  </si>
  <si>
    <t>Contract</t>
  </si>
  <si>
    <t>Begin</t>
  </si>
  <si>
    <t>End</t>
  </si>
  <si>
    <t>Mid-point</t>
  </si>
  <si>
    <t>DOE</t>
  </si>
  <si>
    <t>April</t>
  </si>
  <si>
    <t>March</t>
  </si>
  <si>
    <t>October</t>
  </si>
  <si>
    <t>DHS / ARPA</t>
  </si>
  <si>
    <t>September</t>
  </si>
  <si>
    <t>NOTE: This sheet is to be updated every month after all invoices</t>
  </si>
  <si>
    <t>have been submitted and the results shared on that month's</t>
  </si>
  <si>
    <t xml:space="preserve">TTA call. </t>
  </si>
  <si>
    <t>67 to 100 percent</t>
  </si>
  <si>
    <t>34 to 66 percent</t>
  </si>
  <si>
    <t>0 to 33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</si>
</sst>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#,##0.00"/>
    <numFmt numFmtId="166" formatCode="&quot;$&quot;#,##0.00;[Red]&quot;$&quot;#,##0.00"/>
    <numFmt numFmtId="167" formatCode="_(* #,##0_);_(* \(#,##0\);_(* &quot;-&quot;??_);_(@_)"/>
    <numFmt numFmtId="168" formatCode="&quot;$&quot;#,##0;[Red]&quot;$&quot;#,##0"/>
  </numFmts>
  <fonts count="15" x14ac:knownFonts="1">
    <font>
      <sz val="9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2"/>
      <name val="Arial Narrow"/>
      <family val="2"/>
    </font>
    <font>
      <sz val="12"/>
      <color rgb="FFC00000"/>
      <name val="Arial Narrow"/>
      <family val="2"/>
    </font>
    <font>
      <sz val="12"/>
      <color theme="1" tint="0.34998626667073579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4"/>
      <name val="Arial Narrow"/>
      <family val="2"/>
    </font>
    <font>
      <sz val="12"/>
      <color theme="1"/>
      <name val="Arial Narrow"/>
      <family val="2"/>
    </font>
    <font>
      <b/>
      <sz val="12"/>
      <color theme="1" tint="0.34998626667073579"/>
      <name val="Arial Narrow"/>
      <family val="2"/>
    </font>
    <font>
      <b/>
      <sz val="12"/>
      <color rgb="FF00B0F0"/>
      <name val="Arial Narrow"/>
      <family val="2"/>
    </font>
    <font>
      <b/>
      <sz val="12"/>
      <color rgb="FFC00000"/>
      <name val="Arial Narrow"/>
      <family val="2"/>
    </font>
    <font>
      <sz val="12"/>
      <color rgb="FF59595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4ECB7"/>
        <bgColor indexed="64"/>
      </patternFill>
    </fill>
    <fill>
      <patternFill patternType="solid">
        <fgColor rgb="FFF4D588"/>
        <bgColor indexed="64"/>
      </patternFill>
    </fill>
    <fill>
      <patternFill patternType="solid">
        <fgColor rgb="FFF0B7C7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0" xfId="3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2" applyFont="1" applyAlignment="1">
      <alignment horizontal="left" vertical="center"/>
    </xf>
    <xf numFmtId="44" fontId="5" fillId="0" borderId="0" xfId="2" applyFont="1" applyAlignment="1">
      <alignment horizontal="left" vertical="center"/>
    </xf>
    <xf numFmtId="0" fontId="4" fillId="0" borderId="0" xfId="0" applyFont="1"/>
    <xf numFmtId="164" fontId="4" fillId="0" borderId="0" xfId="3" applyNumberFormat="1" applyFont="1" applyAlignment="1"/>
    <xf numFmtId="44" fontId="4" fillId="0" borderId="0" xfId="2" applyFont="1" applyAlignment="1">
      <alignment horizontal="right"/>
    </xf>
    <xf numFmtId="44" fontId="4" fillId="0" borderId="0" xfId="2" applyFont="1" applyAlignment="1"/>
    <xf numFmtId="44" fontId="5" fillId="0" borderId="0" xfId="2" applyFont="1" applyAlignment="1"/>
    <xf numFmtId="0" fontId="2" fillId="0" borderId="0" xfId="4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4" fontId="7" fillId="2" borderId="0" xfId="3" applyNumberFormat="1" applyFont="1" applyFill="1" applyBorder="1" applyAlignment="1">
      <alignment horizontal="center" vertical="center" wrapText="1"/>
    </xf>
    <xf numFmtId="44" fontId="7" fillId="2" borderId="0" xfId="2" applyFont="1" applyFill="1" applyBorder="1" applyAlignment="1">
      <alignment horizontal="center" vertical="center" wrapText="1"/>
    </xf>
    <xf numFmtId="44" fontId="2" fillId="3" borderId="0" xfId="2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4" fontId="7" fillId="4" borderId="0" xfId="2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4" fontId="5" fillId="0" borderId="0" xfId="2" applyFont="1" applyFill="1" applyBorder="1" applyAlignment="1"/>
    <xf numFmtId="10" fontId="4" fillId="0" borderId="0" xfId="3" applyNumberFormat="1" applyFont="1" applyAlignment="1"/>
    <xf numFmtId="0" fontId="5" fillId="0" borderId="0" xfId="0" applyFont="1"/>
    <xf numFmtId="10" fontId="5" fillId="0" borderId="0" xfId="3" applyNumberFormat="1" applyFont="1" applyFill="1" applyBorder="1" applyAlignment="1"/>
    <xf numFmtId="166" fontId="5" fillId="0" borderId="0" xfId="0" applyNumberFormat="1" applyFont="1"/>
    <xf numFmtId="44" fontId="5" fillId="0" borderId="0" xfId="2" applyFont="1" applyFill="1" applyBorder="1" applyAlignment="1">
      <alignment horizontal="right"/>
    </xf>
    <xf numFmtId="44" fontId="8" fillId="0" borderId="0" xfId="2" applyFont="1" applyFill="1" applyBorder="1" applyAlignment="1"/>
    <xf numFmtId="10" fontId="5" fillId="0" borderId="0" xfId="0" applyNumberFormat="1" applyFont="1"/>
    <xf numFmtId="44" fontId="9" fillId="0" borderId="0" xfId="2" applyFont="1" applyFill="1" applyBorder="1" applyAlignment="1"/>
    <xf numFmtId="44" fontId="5" fillId="0" borderId="0" xfId="0" applyNumberFormat="1" applyFont="1"/>
    <xf numFmtId="44" fontId="10" fillId="6" borderId="2" xfId="0" applyNumberFormat="1" applyFont="1" applyFill="1" applyBorder="1"/>
    <xf numFmtId="10" fontId="10" fillId="6" borderId="2" xfId="3" applyNumberFormat="1" applyFont="1" applyFill="1" applyBorder="1" applyAlignment="1"/>
    <xf numFmtId="1" fontId="10" fillId="6" borderId="2" xfId="0" applyNumberFormat="1" applyFont="1" applyFill="1" applyBorder="1"/>
    <xf numFmtId="44" fontId="11" fillId="0" borderId="0" xfId="2" applyFont="1" applyFill="1" applyBorder="1" applyAlignment="1"/>
    <xf numFmtId="44" fontId="10" fillId="0" borderId="1" xfId="0" applyNumberFormat="1" applyFont="1" applyBorder="1"/>
    <xf numFmtId="10" fontId="10" fillId="0" borderId="1" xfId="3" applyNumberFormat="1" applyFont="1" applyBorder="1" applyAlignment="1"/>
    <xf numFmtId="1" fontId="10" fillId="0" borderId="1" xfId="0" applyNumberFormat="1" applyFont="1" applyBorder="1"/>
    <xf numFmtId="44" fontId="10" fillId="6" borderId="1" xfId="0" applyNumberFormat="1" applyFont="1" applyFill="1" applyBorder="1"/>
    <xf numFmtId="10" fontId="10" fillId="6" borderId="1" xfId="3" applyNumberFormat="1" applyFont="1" applyFill="1" applyBorder="1" applyAlignment="1"/>
    <xf numFmtId="1" fontId="10" fillId="6" borderId="1" xfId="0" applyNumberFormat="1" applyFont="1" applyFill="1" applyBorder="1"/>
    <xf numFmtId="44" fontId="5" fillId="0" borderId="0" xfId="2" applyFont="1" applyFill="1" applyBorder="1" applyAlignment="1">
      <alignment wrapText="1"/>
    </xf>
    <xf numFmtId="44" fontId="12" fillId="0" borderId="0" xfId="2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4" fontId="8" fillId="0" borderId="0" xfId="0" applyNumberFormat="1" applyFont="1"/>
    <xf numFmtId="0" fontId="11" fillId="0" borderId="0" xfId="0" applyFont="1"/>
    <xf numFmtId="44" fontId="4" fillId="0" borderId="0" xfId="0" applyNumberFormat="1" applyFont="1"/>
    <xf numFmtId="167" fontId="4" fillId="0" borderId="0" xfId="1" applyNumberFormat="1" applyFont="1" applyAlignment="1"/>
    <xf numFmtId="1" fontId="4" fillId="0" borderId="0" xfId="0" applyNumberFormat="1" applyFont="1"/>
    <xf numFmtId="10" fontId="4" fillId="0" borderId="0" xfId="0" applyNumberFormat="1" applyFont="1"/>
    <xf numFmtId="164" fontId="5" fillId="0" borderId="0" xfId="3" applyNumberFormat="1" applyFont="1" applyFill="1" applyBorder="1" applyAlignment="1"/>
    <xf numFmtId="168" fontId="5" fillId="0" borderId="0" xfId="0" applyNumberFormat="1" applyFont="1"/>
    <xf numFmtId="44" fontId="11" fillId="0" borderId="0" xfId="2" applyFont="1" applyFill="1" applyBorder="1" applyAlignment="1">
      <alignment horizontal="right"/>
    </xf>
    <xf numFmtId="9" fontId="5" fillId="0" borderId="0" xfId="0" applyNumberFormat="1" applyFont="1"/>
    <xf numFmtId="9" fontId="5" fillId="0" borderId="0" xfId="3" applyFont="1" applyFill="1" applyBorder="1" applyAlignment="1"/>
    <xf numFmtId="0" fontId="2" fillId="0" borderId="0" xfId="2" applyNumberFormat="1" applyFont="1" applyFill="1" applyBorder="1" applyAlignment="1">
      <alignment horizontal="left" vertical="center"/>
    </xf>
    <xf numFmtId="0" fontId="2" fillId="0" borderId="0" xfId="3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3" xfId="3" applyNumberFormat="1" applyFont="1" applyBorder="1" applyAlignment="1">
      <alignment horizontal="left" vertical="center"/>
    </xf>
    <xf numFmtId="0" fontId="13" fillId="0" borderId="0" xfId="0" applyFont="1" applyAlignment="1">
      <alignment vertical="top"/>
    </xf>
    <xf numFmtId="0" fontId="1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7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</cellXfs>
  <cellStyles count="5">
    <cellStyle name="Comma" xfId="1" builtinId="3"/>
    <cellStyle name="Currency" xfId="2" builtinId="4"/>
    <cellStyle name="Normal" xfId="0" builtinId="0"/>
    <cellStyle name="Normal 2" xfId="4" xr:uid="{98A77BBD-E929-44E9-B65A-7B4B816AA7A5}"/>
    <cellStyle name="Percent" xfId="3" builtinId="5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14" formatCode="0.00%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1" formatCode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167" formatCode="_(* #,##0_);_(* \(#,##0\);_(* &quot;-&quot;??_);_(@_)"/>
      <alignment horizontal="general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14" formatCode="0.00%"/>
      <alignment horizontal="general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34" formatCode="_(&quot;$&quot;* #,##0.00_);_(&quot;$&quot;* \(#,##0.00\);_(&quot;$&quot;* &quot;-&quot;??_);_(@_)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34" formatCode="_(&quot;$&quot;* #,##0.00_);_(&quot;$&quot;* \(#,##0.00\);_(&quot;$&quot;* &quot;-&quot;??_);_(@_)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34" formatCode="_(&quot;$&quot;* #,##0.00_);_(&quot;$&quot;* \(#,##0.00\);_(&quot;$&quot;* &quot;-&quot;??_);_(@_)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border outline="0">
        <right style="thin">
          <color theme="4"/>
        </right>
      </border>
    </dxf>
    <dxf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6" formatCode="&quot;$&quot;#,##0.00;[Red]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6" formatCode="&quot;$&quot;#,##0.00;[Red]&quot;$&quot;#,##0.00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6" formatCode="&quot;$&quot;#,##0.00;[Red]&quot;$&quot;#,##0.00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ial Narrow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% Spent by Fund Source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'Agency S&amp;P 2021-22'!$E$3</c:f>
              <c:strCache>
                <c:ptCount val="1"/>
                <c:pt idx="0">
                  <c:v>DOE % Spent</c:v>
                </c:pt>
              </c:strCache>
            </c:strRef>
          </c:tx>
          <c:spPr>
            <a:ln w="28575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cat>
            <c:numRef>
              <c:f>'Agency S&amp;P 2021-22'!$A$4:$A$17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'Agency S&amp;P 2021-22'!$E$4:$E$17</c:f>
              <c:numCache>
                <c:formatCode>0.00%</c:formatCode>
                <c:ptCount val="14"/>
                <c:pt idx="0">
                  <c:v>0.72605785811880952</c:v>
                </c:pt>
                <c:pt idx="1">
                  <c:v>0.74127881094433989</c:v>
                </c:pt>
                <c:pt idx="2">
                  <c:v>0.7917866120278173</c:v>
                </c:pt>
                <c:pt idx="3">
                  <c:v>0.96814462958079106</c:v>
                </c:pt>
                <c:pt idx="4">
                  <c:v>0.69361125422016801</c:v>
                </c:pt>
                <c:pt idx="5">
                  <c:v>0.79980571947240742</c:v>
                </c:pt>
                <c:pt idx="6">
                  <c:v>0.83370774731751951</c:v>
                </c:pt>
                <c:pt idx="7">
                  <c:v>0.61900639336223429</c:v>
                </c:pt>
                <c:pt idx="8">
                  <c:v>0.67033658566041621</c:v>
                </c:pt>
                <c:pt idx="9">
                  <c:v>0.78570131325972736</c:v>
                </c:pt>
                <c:pt idx="10">
                  <c:v>0.87056929232714986</c:v>
                </c:pt>
                <c:pt idx="11">
                  <c:v>0.69082355477910962</c:v>
                </c:pt>
                <c:pt idx="12">
                  <c:v>0.72483937182011837</c:v>
                </c:pt>
                <c:pt idx="13">
                  <c:v>0.73588017524379867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3-4ABC-B290-FECF911C3845}"/>
            </c:ext>
          </c:extLst>
        </c:ser>
        <c:ser>
          <c:idx val="12"/>
          <c:order val="12"/>
          <c:tx>
            <c:strRef>
              <c:f>'Agency S&amp;P 2021-22'!$N$3</c:f>
              <c:strCache>
                <c:ptCount val="1"/>
                <c:pt idx="0">
                  <c:v>HHS % Spent</c:v>
                </c:pt>
              </c:strCache>
            </c:strRef>
          </c:tx>
          <c:spPr>
            <a:ln w="28575" cap="rnd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5000"/>
                </a:schemeClr>
              </a:solidFill>
              <a:ln w="9525">
                <a:solidFill>
                  <a:schemeClr val="accent1">
                    <a:shade val="95000"/>
                  </a:schemeClr>
                </a:solidFill>
              </a:ln>
              <a:effectLst/>
            </c:spPr>
          </c:marker>
          <c:cat>
            <c:numRef>
              <c:f>'Agency S&amp;P 2021-22'!$A$4:$A$17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'Agency S&amp;P 2021-22'!$N$4:$N$17</c:f>
              <c:numCache>
                <c:formatCode>0.00%</c:formatCode>
                <c:ptCount val="14"/>
                <c:pt idx="0">
                  <c:v>0.31640576273785004</c:v>
                </c:pt>
                <c:pt idx="1">
                  <c:v>0.52138222278186119</c:v>
                </c:pt>
                <c:pt idx="2">
                  <c:v>0.40462979856689174</c:v>
                </c:pt>
                <c:pt idx="3">
                  <c:v>0.47241213785468689</c:v>
                </c:pt>
                <c:pt idx="4">
                  <c:v>0.36736045342529999</c:v>
                </c:pt>
                <c:pt idx="5">
                  <c:v>0.43845566703324806</c:v>
                </c:pt>
                <c:pt idx="6">
                  <c:v>0.40067693349723593</c:v>
                </c:pt>
                <c:pt idx="7">
                  <c:v>0.13841454596271363</c:v>
                </c:pt>
                <c:pt idx="8">
                  <c:v>0.48001660205851765</c:v>
                </c:pt>
                <c:pt idx="9">
                  <c:v>0.25530843325470987</c:v>
                </c:pt>
                <c:pt idx="10">
                  <c:v>0.44026146131127553</c:v>
                </c:pt>
                <c:pt idx="11">
                  <c:v>0.54536355678396975</c:v>
                </c:pt>
                <c:pt idx="12">
                  <c:v>0.31924198588681102</c:v>
                </c:pt>
                <c:pt idx="13">
                  <c:v>0.22436066460880155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3-4ABC-B290-FECF911C3845}"/>
            </c:ext>
          </c:extLst>
        </c:ser>
        <c:ser>
          <c:idx val="21"/>
          <c:order val="21"/>
          <c:tx>
            <c:strRef>
              <c:f>'Agency S&amp;P 2021-22'!$W$3</c:f>
              <c:strCache>
                <c:ptCount val="1"/>
                <c:pt idx="0">
                  <c:v>ARPA % Spent</c:v>
                </c:pt>
              </c:strCache>
            </c:strRef>
          </c:tx>
          <c:spPr>
            <a:ln w="28575" cap="rnd">
              <a:solidFill>
                <a:schemeClr val="accent1">
                  <a:tint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60000"/>
                </a:schemeClr>
              </a:solidFill>
              <a:ln w="9525">
                <a:solidFill>
                  <a:schemeClr val="accent1">
                    <a:tint val="60000"/>
                  </a:schemeClr>
                </a:solidFill>
              </a:ln>
              <a:effectLst/>
            </c:spPr>
          </c:marker>
          <c:cat>
            <c:numRef>
              <c:f>'Agency S&amp;P 2021-22'!$A$4:$A$17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'Agency S&amp;P 2021-22'!$W$4:$W$17</c:f>
              <c:numCache>
                <c:formatCode>0.00%</c:formatCode>
                <c:ptCount val="14"/>
                <c:pt idx="0">
                  <c:v>0.13438677813332023</c:v>
                </c:pt>
                <c:pt idx="1">
                  <c:v>0.42208473591852275</c:v>
                </c:pt>
                <c:pt idx="2">
                  <c:v>0.18143763268354962</c:v>
                </c:pt>
                <c:pt idx="3">
                  <c:v>0.4217699869193311</c:v>
                </c:pt>
                <c:pt idx="4">
                  <c:v>0.48858809549209226</c:v>
                </c:pt>
                <c:pt idx="5">
                  <c:v>0.42591054475181012</c:v>
                </c:pt>
                <c:pt idx="6">
                  <c:v>0.42975615882048374</c:v>
                </c:pt>
                <c:pt idx="7">
                  <c:v>0.19375772703556701</c:v>
                </c:pt>
                <c:pt idx="8">
                  <c:v>0.58745800462447173</c:v>
                </c:pt>
                <c:pt idx="9">
                  <c:v>0</c:v>
                </c:pt>
                <c:pt idx="10">
                  <c:v>8.3603994155227707E-2</c:v>
                </c:pt>
                <c:pt idx="11">
                  <c:v>0.35033783652727407</c:v>
                </c:pt>
                <c:pt idx="12">
                  <c:v>0.16987916282439325</c:v>
                </c:pt>
                <c:pt idx="13">
                  <c:v>0.29913249628199273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3-4ABC-B290-FECF911C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97407"/>
        <c:axId val="19584961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'Agency S&amp;P 2021-22'!$B$3</c15:sqref>
                        </c15:formulaRef>
                      </c:ext>
                    </c:extLst>
                    <c:strCache>
                      <c:ptCount val="1"/>
                      <c:pt idx="0">
                        <c:v>DOE 
2021-22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3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35000"/>
                      </a:schemeClr>
                    </a:solidFill>
                    <a:ln w="9525">
                      <a:solidFill>
                        <a:schemeClr val="accent1">
                          <a:shade val="3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'Agency S&amp;P 2021-22'!$B$4:$B$17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613232.52</c:v>
                      </c:pt>
                      <c:pt idx="1">
                        <c:v>549895.19999999995</c:v>
                      </c:pt>
                      <c:pt idx="2">
                        <c:v>269581.08</c:v>
                      </c:pt>
                      <c:pt idx="3">
                        <c:v>134987.6</c:v>
                      </c:pt>
                      <c:pt idx="4">
                        <c:v>139870.01999999999</c:v>
                      </c:pt>
                      <c:pt idx="5">
                        <c:v>174953.2</c:v>
                      </c:pt>
                      <c:pt idx="6">
                        <c:v>332737.75</c:v>
                      </c:pt>
                      <c:pt idx="7">
                        <c:v>219996.92</c:v>
                      </c:pt>
                      <c:pt idx="8">
                        <c:v>352569.08999999997</c:v>
                      </c:pt>
                      <c:pt idx="9">
                        <c:v>221953.81</c:v>
                      </c:pt>
                      <c:pt idx="10">
                        <c:v>102630.05</c:v>
                      </c:pt>
                      <c:pt idx="11">
                        <c:v>402741.03</c:v>
                      </c:pt>
                      <c:pt idx="12">
                        <c:v>729415.91</c:v>
                      </c:pt>
                      <c:pt idx="13">
                        <c:v>129364.92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9F3-4ABC-B290-FECF911C384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2021-22'!$C$3</c15:sqref>
                        </c15:formulaRef>
                      </c:ext>
                    </c:extLst>
                    <c:strCache>
                      <c:ptCount val="1"/>
                      <c:pt idx="0">
                        <c:v>DOE 
Balance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40000"/>
                      </a:schemeClr>
                    </a:solidFill>
                    <a:ln w="9525">
                      <a:solidFill>
                        <a:schemeClr val="accent1">
                          <a:shade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2021-22'!$C$4:$C$17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167990.23</c:v>
                      </c:pt>
                      <c:pt idx="1">
                        <c:v>142269.54</c:v>
                      </c:pt>
                      <c:pt idx="2">
                        <c:v>56130.39</c:v>
                      </c:pt>
                      <c:pt idx="3">
                        <c:v>4300.08</c:v>
                      </c:pt>
                      <c:pt idx="4">
                        <c:v>42854.6</c:v>
                      </c:pt>
                      <c:pt idx="5">
                        <c:v>35024.629999999997</c:v>
                      </c:pt>
                      <c:pt idx="6">
                        <c:v>55331.71</c:v>
                      </c:pt>
                      <c:pt idx="7">
                        <c:v>83817.42</c:v>
                      </c:pt>
                      <c:pt idx="8">
                        <c:v>116229.13</c:v>
                      </c:pt>
                      <c:pt idx="9">
                        <c:v>47564.41</c:v>
                      </c:pt>
                      <c:pt idx="10">
                        <c:v>13283.48</c:v>
                      </c:pt>
                      <c:pt idx="11">
                        <c:v>124518.04</c:v>
                      </c:pt>
                      <c:pt idx="12">
                        <c:v>200706.54</c:v>
                      </c:pt>
                      <c:pt idx="13">
                        <c:v>34167.839999999997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9F3-4ABC-B290-FECF911C384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2021-22'!$D$3</c15:sqref>
                        </c15:formulaRef>
                      </c:ext>
                    </c:extLst>
                    <c:strCache>
                      <c:ptCount val="1"/>
                      <c:pt idx="0">
                        <c:v>DOE
Spent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4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45000"/>
                      </a:schemeClr>
                    </a:solidFill>
                    <a:ln w="9525">
                      <a:solidFill>
                        <a:schemeClr val="accent1">
                          <a:shade val="4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2021-22'!$D$4:$D$17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445242.29000000004</c:v>
                      </c:pt>
                      <c:pt idx="1">
                        <c:v>407625.65999999992</c:v>
                      </c:pt>
                      <c:pt idx="2">
                        <c:v>213450.69</c:v>
                      </c:pt>
                      <c:pt idx="3">
                        <c:v>130687.52</c:v>
                      </c:pt>
                      <c:pt idx="4">
                        <c:v>97015.419999999984</c:v>
                      </c:pt>
                      <c:pt idx="5">
                        <c:v>139928.57</c:v>
                      </c:pt>
                      <c:pt idx="6">
                        <c:v>277406.03999999998</c:v>
                      </c:pt>
                      <c:pt idx="7">
                        <c:v>136179.5</c:v>
                      </c:pt>
                      <c:pt idx="8">
                        <c:v>236339.95999999996</c:v>
                      </c:pt>
                      <c:pt idx="9">
                        <c:v>174389.4</c:v>
                      </c:pt>
                      <c:pt idx="10">
                        <c:v>89346.57</c:v>
                      </c:pt>
                      <c:pt idx="11">
                        <c:v>278222.99000000005</c:v>
                      </c:pt>
                      <c:pt idx="12">
                        <c:v>528709.37</c:v>
                      </c:pt>
                      <c:pt idx="13">
                        <c:v>95197.08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9F3-4ABC-B290-FECF911C384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2021-22'!$F$3</c15:sqref>
                        </c15:formulaRef>
                      </c:ext>
                    </c:extLst>
                    <c:strCache>
                      <c:ptCount val="1"/>
                      <c:pt idx="0">
                        <c:v>DOE Units Required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5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55000"/>
                      </a:schemeClr>
                    </a:solidFill>
                    <a:ln w="9525">
                      <a:solidFill>
                        <a:schemeClr val="accent1">
                          <a:shade val="5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2021-22'!$F$4:$F$17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63</c:v>
                      </c:pt>
                      <c:pt idx="1">
                        <c:v>71</c:v>
                      </c:pt>
                      <c:pt idx="2">
                        <c:v>26</c:v>
                      </c:pt>
                      <c:pt idx="3">
                        <c:v>14</c:v>
                      </c:pt>
                      <c:pt idx="4">
                        <c:v>16</c:v>
                      </c:pt>
                      <c:pt idx="5">
                        <c:v>20</c:v>
                      </c:pt>
                      <c:pt idx="6">
                        <c:v>37</c:v>
                      </c:pt>
                      <c:pt idx="7">
                        <c:v>31</c:v>
                      </c:pt>
                      <c:pt idx="8">
                        <c:v>47</c:v>
                      </c:pt>
                      <c:pt idx="9">
                        <c:v>24</c:v>
                      </c:pt>
                      <c:pt idx="10">
                        <c:v>12</c:v>
                      </c:pt>
                      <c:pt idx="11">
                        <c:v>46</c:v>
                      </c:pt>
                      <c:pt idx="12">
                        <c:v>72</c:v>
                      </c:pt>
                      <c:pt idx="13">
                        <c:v>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9F3-4ABC-B290-FECF911C384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2021-22'!$G$3</c15:sqref>
                        </c15:formulaRef>
                      </c:ext>
                    </c:extLst>
                    <c:strCache>
                      <c:ptCount val="1"/>
                      <c:pt idx="0">
                        <c:v>DOE Units Completed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60000"/>
                      </a:schemeClr>
                    </a:solidFill>
                    <a:ln w="9525">
                      <a:solidFill>
                        <a:schemeClr val="accent1">
                          <a:shade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2021-22'!$G$4:$G$17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85</c:v>
                      </c:pt>
                      <c:pt idx="1">
                        <c:v>75</c:v>
                      </c:pt>
                      <c:pt idx="2">
                        <c:v>40</c:v>
                      </c:pt>
                      <c:pt idx="3">
                        <c:v>27</c:v>
                      </c:pt>
                      <c:pt idx="4">
                        <c:v>19</c:v>
                      </c:pt>
                      <c:pt idx="5">
                        <c:v>21</c:v>
                      </c:pt>
                      <c:pt idx="6">
                        <c:v>53</c:v>
                      </c:pt>
                      <c:pt idx="7">
                        <c:v>16</c:v>
                      </c:pt>
                      <c:pt idx="8">
                        <c:v>43</c:v>
                      </c:pt>
                      <c:pt idx="9">
                        <c:v>16</c:v>
                      </c:pt>
                      <c:pt idx="10">
                        <c:v>34</c:v>
                      </c:pt>
                      <c:pt idx="11">
                        <c:v>47</c:v>
                      </c:pt>
                      <c:pt idx="12">
                        <c:v>75</c:v>
                      </c:pt>
                      <c:pt idx="13">
                        <c:v>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9F3-4ABC-B290-FECF911C384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2021-22'!$H$3</c15:sqref>
                        </c15:formulaRef>
                      </c:ext>
                    </c:extLst>
                    <c:strCache>
                      <c:ptCount val="1"/>
                      <c:pt idx="0">
                        <c:v>% DOE Units Completed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65000"/>
                      </a:schemeClr>
                    </a:solidFill>
                    <a:ln w="9525">
                      <a:solidFill>
                        <a:schemeClr val="accent1">
                          <a:shade val="6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2021-22'!$H$4:$H$17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0">
                        <c:v>1.3492063492063493</c:v>
                      </c:pt>
                      <c:pt idx="1">
                        <c:v>1.056338028169014</c:v>
                      </c:pt>
                      <c:pt idx="2">
                        <c:v>1.5384615384615385</c:v>
                      </c:pt>
                      <c:pt idx="3">
                        <c:v>1.9285714285714286</c:v>
                      </c:pt>
                      <c:pt idx="4">
                        <c:v>1.1875</c:v>
                      </c:pt>
                      <c:pt idx="5">
                        <c:v>1.05</c:v>
                      </c:pt>
                      <c:pt idx="6">
                        <c:v>1.4324324324324325</c:v>
                      </c:pt>
                      <c:pt idx="7">
                        <c:v>0.5161290322580645</c:v>
                      </c:pt>
                      <c:pt idx="8">
                        <c:v>0.91489361702127658</c:v>
                      </c:pt>
                      <c:pt idx="9">
                        <c:v>0.66666666666666663</c:v>
                      </c:pt>
                      <c:pt idx="10">
                        <c:v>2.8333333333333335</c:v>
                      </c:pt>
                      <c:pt idx="11">
                        <c:v>1.0217391304347827</c:v>
                      </c:pt>
                      <c:pt idx="12">
                        <c:v>1.0416666666666667</c:v>
                      </c:pt>
                      <c:pt idx="13">
                        <c:v>0.875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9F3-4ABC-B290-FECF911C384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2021-22'!$I$3</c15:sqref>
                        </c15:formulaRef>
                      </c:ext>
                    </c:extLst>
                    <c:strCache>
                      <c:ptCount val="1"/>
                      <c:pt idx="0">
                        <c:v>DOE
TCPU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7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70000"/>
                      </a:schemeClr>
                    </a:solidFill>
                    <a:ln w="9525">
                      <a:solidFill>
                        <a:schemeClr val="accent1">
                          <a:shade val="7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2021-22'!$I$4:$I$17</c15:sqref>
                        </c15:formulaRef>
                      </c:ext>
                    </c:extLst>
                    <c:numCache>
                      <c:formatCode>"$"#,##0.00;[Red]"$"#,##0.00</c:formatCode>
                      <c:ptCount val="14"/>
                      <c:pt idx="0">
                        <c:v>5238.1445882352946</c:v>
                      </c:pt>
                      <c:pt idx="1">
                        <c:v>5435.0087999999987</c:v>
                      </c:pt>
                      <c:pt idx="2">
                        <c:v>5336.2672499999999</c:v>
                      </c:pt>
                      <c:pt idx="3">
                        <c:v>4840.2785185185185</c:v>
                      </c:pt>
                      <c:pt idx="4">
                        <c:v>5106.0747368421044</c:v>
                      </c:pt>
                      <c:pt idx="5">
                        <c:v>6663.2652380952386</c:v>
                      </c:pt>
                      <c:pt idx="6">
                        <c:v>5234.0762264150935</c:v>
                      </c:pt>
                      <c:pt idx="7">
                        <c:v>8511.21875</c:v>
                      </c:pt>
                      <c:pt idx="8">
                        <c:v>5496.2781395348829</c:v>
                      </c:pt>
                      <c:pt idx="9">
                        <c:v>10899.3375</c:v>
                      </c:pt>
                      <c:pt idx="10">
                        <c:v>2627.8402941176473</c:v>
                      </c:pt>
                      <c:pt idx="11">
                        <c:v>5919.6380851063841</c:v>
                      </c:pt>
                      <c:pt idx="12">
                        <c:v>7049.4582666666665</c:v>
                      </c:pt>
                      <c:pt idx="13">
                        <c:v>6799.7914285714287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9F3-4ABC-B290-FECF911C384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2021-22'!$J$3</c15:sqref>
                        </c15:formulaRef>
                      </c:ext>
                    </c:extLst>
                    <c:strCache>
                      <c:ptCount val="1"/>
                      <c:pt idx="0">
                        <c:v> DOE
Reallocation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75000"/>
                      </a:schemeClr>
                    </a:solidFill>
                    <a:ln w="9525">
                      <a:solidFill>
                        <a:schemeClr val="accent1">
                          <a:shade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2021-22'!$J$4:$J$17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1">
                        <c:v>133753.14000000001</c:v>
                      </c:pt>
                      <c:pt idx="4">
                        <c:v>89000</c:v>
                      </c:pt>
                      <c:pt idx="6">
                        <c:v>50000</c:v>
                      </c:pt>
                      <c:pt idx="7">
                        <c:v>-145863.20000000001</c:v>
                      </c:pt>
                      <c:pt idx="8">
                        <c:v>134765.16</c:v>
                      </c:pt>
                      <c:pt idx="10">
                        <c:v>50000</c:v>
                      </c:pt>
                      <c:pt idx="11">
                        <c:v>100000</c:v>
                      </c:pt>
                      <c:pt idx="12">
                        <c:v>100000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9F3-4ABC-B290-FECF911C384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2021-22'!$K$3</c15:sqref>
                        </c15:formulaRef>
                      </c:ext>
                    </c:extLst>
                    <c:strCache>
                      <c:ptCount val="1"/>
                      <c:pt idx="0">
                        <c:v> HHS 
2021-22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80000"/>
                      </a:schemeClr>
                    </a:solidFill>
                    <a:ln w="9525">
                      <a:solidFill>
                        <a:schemeClr val="accent1">
                          <a:shade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2021-22'!$K$4:$K$17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621857.89</c:v>
                      </c:pt>
                      <c:pt idx="1">
                        <c:v>420588.64</c:v>
                      </c:pt>
                      <c:pt idx="2">
                        <c:v>270920.21000000002</c:v>
                      </c:pt>
                      <c:pt idx="3">
                        <c:v>133473.01</c:v>
                      </c:pt>
                      <c:pt idx="4">
                        <c:v>138458.97</c:v>
                      </c:pt>
                      <c:pt idx="5">
                        <c:v>174285.99</c:v>
                      </c:pt>
                      <c:pt idx="6">
                        <c:v>284355.84999999998</c:v>
                      </c:pt>
                      <c:pt idx="7">
                        <c:v>369240.6</c:v>
                      </c:pt>
                      <c:pt idx="8">
                        <c:v>218045.25</c:v>
                      </c:pt>
                      <c:pt idx="9">
                        <c:v>222283.1</c:v>
                      </c:pt>
                      <c:pt idx="10">
                        <c:v>100429.39</c:v>
                      </c:pt>
                      <c:pt idx="11">
                        <c:v>304783.2</c:v>
                      </c:pt>
                      <c:pt idx="12">
                        <c:v>638384.42000000004</c:v>
                      </c:pt>
                      <c:pt idx="13">
                        <c:v>127731.08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9F3-4ABC-B290-FECF911C384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2021-22'!$L$3</c15:sqref>
                        </c15:formulaRef>
                      </c:ext>
                    </c:extLst>
                    <c:strCache>
                      <c:ptCount val="1"/>
                      <c:pt idx="0">
                        <c:v> HHS
Balance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8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85000"/>
                      </a:schemeClr>
                    </a:solidFill>
                    <a:ln w="9525">
                      <a:solidFill>
                        <a:schemeClr val="accent1">
                          <a:shade val="8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2021-22'!$L$4:$L$17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425098.47</c:v>
                      </c:pt>
                      <c:pt idx="1">
                        <c:v>201301.2</c:v>
                      </c:pt>
                      <c:pt idx="2">
                        <c:v>161297.82</c:v>
                      </c:pt>
                      <c:pt idx="3">
                        <c:v>70418.740000000005</c:v>
                      </c:pt>
                      <c:pt idx="4">
                        <c:v>87594.62</c:v>
                      </c:pt>
                      <c:pt idx="5">
                        <c:v>97869.31</c:v>
                      </c:pt>
                      <c:pt idx="6">
                        <c:v>170421.02</c:v>
                      </c:pt>
                      <c:pt idx="7">
                        <c:v>318132.33</c:v>
                      </c:pt>
                      <c:pt idx="8">
                        <c:v>113379.91</c:v>
                      </c:pt>
                      <c:pt idx="9">
                        <c:v>165532.35</c:v>
                      </c:pt>
                      <c:pt idx="10">
                        <c:v>56214.2</c:v>
                      </c:pt>
                      <c:pt idx="11">
                        <c:v>138565.54999999999</c:v>
                      </c:pt>
                      <c:pt idx="12">
                        <c:v>434585.31</c:v>
                      </c:pt>
                      <c:pt idx="13">
                        <c:v>99073.25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9F3-4ABC-B290-FECF911C384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2021-22'!$M$3</c15:sqref>
                        </c15:formulaRef>
                      </c:ext>
                    </c:extLst>
                    <c:strCache>
                      <c:ptCount val="1"/>
                      <c:pt idx="0">
                        <c:v>HHS
Spent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9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90000"/>
                      </a:schemeClr>
                    </a:solidFill>
                    <a:ln w="9525">
                      <a:solidFill>
                        <a:schemeClr val="accent1">
                          <a:shade val="9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2021-22'!$M$4:$M$17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196759.42000000004</c:v>
                      </c:pt>
                      <c:pt idx="1">
                        <c:v>219287.44</c:v>
                      </c:pt>
                      <c:pt idx="2">
                        <c:v>109622.39000000001</c:v>
                      </c:pt>
                      <c:pt idx="3">
                        <c:v>63054.270000000004</c:v>
                      </c:pt>
                      <c:pt idx="4">
                        <c:v>50864.350000000006</c:v>
                      </c:pt>
                      <c:pt idx="5">
                        <c:v>76416.679999999993</c:v>
                      </c:pt>
                      <c:pt idx="6">
                        <c:v>113934.82999999999</c:v>
                      </c:pt>
                      <c:pt idx="7">
                        <c:v>51108.26999999996</c:v>
                      </c:pt>
                      <c:pt idx="8">
                        <c:v>104665.34</c:v>
                      </c:pt>
                      <c:pt idx="9">
                        <c:v>56750.75</c:v>
                      </c:pt>
                      <c:pt idx="10">
                        <c:v>44215.19</c:v>
                      </c:pt>
                      <c:pt idx="11">
                        <c:v>166217.65000000002</c:v>
                      </c:pt>
                      <c:pt idx="12">
                        <c:v>203799.11000000004</c:v>
                      </c:pt>
                      <c:pt idx="13">
                        <c:v>28657.83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9F3-4ABC-B290-FECF911C384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2021-22'!$O$3</c15:sqref>
                        </c15:formulaRef>
                      </c:ext>
                    </c:extLst>
                    <c:strCache>
                      <c:ptCount val="1"/>
                      <c:pt idx="0">
                        <c:v>HHS Units Required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2021-22'!$O$4:$O$17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77</c:v>
                      </c:pt>
                      <c:pt idx="1">
                        <c:v>53</c:v>
                      </c:pt>
                      <c:pt idx="2">
                        <c:v>34</c:v>
                      </c:pt>
                      <c:pt idx="3">
                        <c:v>17</c:v>
                      </c:pt>
                      <c:pt idx="4">
                        <c:v>18</c:v>
                      </c:pt>
                      <c:pt idx="5">
                        <c:v>22</c:v>
                      </c:pt>
                      <c:pt idx="6">
                        <c:v>36</c:v>
                      </c:pt>
                      <c:pt idx="7">
                        <c:v>46</c:v>
                      </c:pt>
                      <c:pt idx="8">
                        <c:v>27</c:v>
                      </c:pt>
                      <c:pt idx="9">
                        <c:v>28</c:v>
                      </c:pt>
                      <c:pt idx="10">
                        <c:v>13</c:v>
                      </c:pt>
                      <c:pt idx="11">
                        <c:v>38</c:v>
                      </c:pt>
                      <c:pt idx="12">
                        <c:v>79</c:v>
                      </c:pt>
                      <c:pt idx="13">
                        <c:v>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9F3-4ABC-B290-FECF911C384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2021-22'!$P$3</c15:sqref>
                        </c15:formulaRef>
                      </c:ext>
                    </c:extLst>
                    <c:strCache>
                      <c:ptCount val="1"/>
                      <c:pt idx="0">
                        <c:v>HHS Units Completed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9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95000"/>
                      </a:schemeClr>
                    </a:solidFill>
                    <a:ln w="9525">
                      <a:solidFill>
                        <a:schemeClr val="accent1">
                          <a:tint val="9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2021-22'!$P$4:$P$17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33</c:v>
                      </c:pt>
                      <c:pt idx="1">
                        <c:v>32</c:v>
                      </c:pt>
                      <c:pt idx="2">
                        <c:v>20</c:v>
                      </c:pt>
                      <c:pt idx="3">
                        <c:v>10</c:v>
                      </c:pt>
                      <c:pt idx="4">
                        <c:v>7</c:v>
                      </c:pt>
                      <c:pt idx="5">
                        <c:v>12</c:v>
                      </c:pt>
                      <c:pt idx="6">
                        <c:v>23</c:v>
                      </c:pt>
                      <c:pt idx="7">
                        <c:v>8</c:v>
                      </c:pt>
                      <c:pt idx="8">
                        <c:v>16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22</c:v>
                      </c:pt>
                      <c:pt idx="12">
                        <c:v>30</c:v>
                      </c:pt>
                      <c:pt idx="13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9F3-4ABC-B290-FECF911C384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2021-22'!$Q$3</c15:sqref>
                        </c15:formulaRef>
                      </c:ext>
                    </c:extLst>
                    <c:strCache>
                      <c:ptCount val="1"/>
                      <c:pt idx="0">
                        <c:v>% HHS Units Completed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9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90000"/>
                      </a:schemeClr>
                    </a:solidFill>
                    <a:ln w="9525">
                      <a:solidFill>
                        <a:schemeClr val="accent1">
                          <a:tint val="9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2021-22'!$Q$4:$Q$17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0">
                        <c:v>0.42857142857142855</c:v>
                      </c:pt>
                      <c:pt idx="1">
                        <c:v>0.60377358490566035</c:v>
                      </c:pt>
                      <c:pt idx="2">
                        <c:v>0.58823529411764708</c:v>
                      </c:pt>
                      <c:pt idx="3">
                        <c:v>0.58823529411764708</c:v>
                      </c:pt>
                      <c:pt idx="4">
                        <c:v>0.3888888888888889</c:v>
                      </c:pt>
                      <c:pt idx="5">
                        <c:v>0.54545454545454541</c:v>
                      </c:pt>
                      <c:pt idx="6">
                        <c:v>0.63888888888888884</c:v>
                      </c:pt>
                      <c:pt idx="7">
                        <c:v>0.17391304347826086</c:v>
                      </c:pt>
                      <c:pt idx="8">
                        <c:v>0.59259259259259256</c:v>
                      </c:pt>
                      <c:pt idx="9">
                        <c:v>0.25</c:v>
                      </c:pt>
                      <c:pt idx="10">
                        <c:v>0.46153846153846156</c:v>
                      </c:pt>
                      <c:pt idx="11">
                        <c:v>0.57894736842105265</c:v>
                      </c:pt>
                      <c:pt idx="12">
                        <c:v>0.379746835443038</c:v>
                      </c:pt>
                      <c:pt idx="13">
                        <c:v>0.3125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9F3-4ABC-B290-FECF911C384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2021-22'!$R$3</c15:sqref>
                        </c15:formulaRef>
                      </c:ext>
                    </c:extLst>
                    <c:strCache>
                      <c:ptCount val="1"/>
                      <c:pt idx="0">
                        <c:v>HHS
TCPU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8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85000"/>
                      </a:schemeClr>
                    </a:solidFill>
                    <a:ln w="9525">
                      <a:solidFill>
                        <a:schemeClr val="accent1">
                          <a:tint val="8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2021-22'!$R$4:$R$17</c15:sqref>
                        </c15:formulaRef>
                      </c:ext>
                    </c:extLst>
                    <c:numCache>
                      <c:formatCode>"$"#,##0.00;[Red]"$"#,##0.00</c:formatCode>
                      <c:ptCount val="14"/>
                      <c:pt idx="0">
                        <c:v>5962.4066666666677</c:v>
                      </c:pt>
                      <c:pt idx="1">
                        <c:v>6852.7325000000001</c:v>
                      </c:pt>
                      <c:pt idx="2">
                        <c:v>5481.1195000000007</c:v>
                      </c:pt>
                      <c:pt idx="3">
                        <c:v>6305.4270000000006</c:v>
                      </c:pt>
                      <c:pt idx="4">
                        <c:v>7266.3357142857149</c:v>
                      </c:pt>
                      <c:pt idx="5">
                        <c:v>6368.0566666666664</c:v>
                      </c:pt>
                      <c:pt idx="6">
                        <c:v>4953.6882608695651</c:v>
                      </c:pt>
                      <c:pt idx="7">
                        <c:v>6388.5337499999951</c:v>
                      </c:pt>
                      <c:pt idx="8">
                        <c:v>6541.5837499999998</c:v>
                      </c:pt>
                      <c:pt idx="9">
                        <c:v>8107.25</c:v>
                      </c:pt>
                      <c:pt idx="10">
                        <c:v>7369.1983333333337</c:v>
                      </c:pt>
                      <c:pt idx="11">
                        <c:v>7555.3477272727287</c:v>
                      </c:pt>
                      <c:pt idx="12">
                        <c:v>6793.3036666666685</c:v>
                      </c:pt>
                      <c:pt idx="13">
                        <c:v>5731.5660000000007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9F3-4ABC-B290-FECF911C384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2021-22'!$S$3</c15:sqref>
                        </c15:formulaRef>
                      </c:ext>
                    </c:extLst>
                    <c:strCache>
                      <c:ptCount val="1"/>
                      <c:pt idx="0">
                        <c:v> HHS
Reallocation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80000"/>
                      </a:schemeClr>
                    </a:solidFill>
                    <a:ln w="9525">
                      <a:solidFill>
                        <a:schemeClr val="accent1">
                          <a:tint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2021-22'!$S$4:$S$17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9F3-4ABC-B290-FECF911C384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2021-22'!$T$3</c15:sqref>
                        </c15:formulaRef>
                      </c:ext>
                    </c:extLst>
                    <c:strCache>
                      <c:ptCount val="1"/>
                      <c:pt idx="0">
                        <c:v> DHS ARPA
2021-22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75000"/>
                      </a:schemeClr>
                    </a:solidFill>
                    <a:ln w="9525">
                      <a:solidFill>
                        <a:schemeClr val="accent1">
                          <a:tint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2021-22'!$T$4:$T$17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362910.33</c:v>
                      </c:pt>
                      <c:pt idx="1">
                        <c:v>245451.51999999999</c:v>
                      </c:pt>
                      <c:pt idx="2">
                        <c:v>158106.45000000001</c:v>
                      </c:pt>
                      <c:pt idx="3">
                        <c:v>77893.570000000007</c:v>
                      </c:pt>
                      <c:pt idx="4">
                        <c:v>80803.34</c:v>
                      </c:pt>
                      <c:pt idx="5">
                        <c:v>101711.64</c:v>
                      </c:pt>
                      <c:pt idx="6">
                        <c:v>165947.35999999999</c:v>
                      </c:pt>
                      <c:pt idx="7">
                        <c:v>215485.29</c:v>
                      </c:pt>
                      <c:pt idx="8">
                        <c:v>127249.13</c:v>
                      </c:pt>
                      <c:pt idx="9">
                        <c:v>129722.29</c:v>
                      </c:pt>
                      <c:pt idx="10">
                        <c:v>58609.64</c:v>
                      </c:pt>
                      <c:pt idx="11">
                        <c:v>177868.57</c:v>
                      </c:pt>
                      <c:pt idx="12">
                        <c:v>372555.05</c:v>
                      </c:pt>
                      <c:pt idx="13">
                        <c:v>74542.62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9F3-4ABC-B290-FECF911C384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2021-22'!$U$3</c15:sqref>
                        </c15:formulaRef>
                      </c:ext>
                    </c:extLst>
                    <c:strCache>
                      <c:ptCount val="1"/>
                      <c:pt idx="0">
                        <c:v> ARPA
Balance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7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70000"/>
                      </a:schemeClr>
                    </a:solidFill>
                    <a:ln w="9525">
                      <a:solidFill>
                        <a:schemeClr val="accent1">
                          <a:tint val="7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2021-22'!$U$4:$U$17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314139.98</c:v>
                      </c:pt>
                      <c:pt idx="1">
                        <c:v>141850.18</c:v>
                      </c:pt>
                      <c:pt idx="2">
                        <c:v>129419.99</c:v>
                      </c:pt>
                      <c:pt idx="3">
                        <c:v>45040.4</c:v>
                      </c:pt>
                      <c:pt idx="4">
                        <c:v>41323.79</c:v>
                      </c:pt>
                      <c:pt idx="5">
                        <c:v>58391.58</c:v>
                      </c:pt>
                      <c:pt idx="6">
                        <c:v>94630.46</c:v>
                      </c:pt>
                      <c:pt idx="7">
                        <c:v>173733.35</c:v>
                      </c:pt>
                      <c:pt idx="8">
                        <c:v>52495.61</c:v>
                      </c:pt>
                      <c:pt idx="9">
                        <c:v>129722.29</c:v>
                      </c:pt>
                      <c:pt idx="10">
                        <c:v>53709.64</c:v>
                      </c:pt>
                      <c:pt idx="11">
                        <c:v>115554.48</c:v>
                      </c:pt>
                      <c:pt idx="12">
                        <c:v>309265.71000000002</c:v>
                      </c:pt>
                      <c:pt idx="13">
                        <c:v>52244.5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49F3-4ABC-B290-FECF911C384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2021-22'!$V$3</c15:sqref>
                        </c15:formulaRef>
                      </c:ext>
                    </c:extLst>
                    <c:strCache>
                      <c:ptCount val="1"/>
                      <c:pt idx="0">
                        <c:v> ARPA
Spent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65000"/>
                      </a:schemeClr>
                    </a:solidFill>
                    <a:ln w="9525">
                      <a:solidFill>
                        <a:schemeClr val="accent1">
                          <a:tint val="6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2021-22'!$V$4:$V$17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48770.350000000035</c:v>
                      </c:pt>
                      <c:pt idx="1">
                        <c:v>103601.34</c:v>
                      </c:pt>
                      <c:pt idx="2">
                        <c:v>28686.460000000006</c:v>
                      </c:pt>
                      <c:pt idx="3">
                        <c:v>32853.170000000006</c:v>
                      </c:pt>
                      <c:pt idx="4">
                        <c:v>39479.549999999996</c:v>
                      </c:pt>
                      <c:pt idx="5">
                        <c:v>43320.06</c:v>
                      </c:pt>
                      <c:pt idx="6">
                        <c:v>71316.89999999998</c:v>
                      </c:pt>
                      <c:pt idx="7">
                        <c:v>41751.94</c:v>
                      </c:pt>
                      <c:pt idx="8">
                        <c:v>74753.52</c:v>
                      </c:pt>
                      <c:pt idx="9">
                        <c:v>0</c:v>
                      </c:pt>
                      <c:pt idx="10">
                        <c:v>4900</c:v>
                      </c:pt>
                      <c:pt idx="11">
                        <c:v>62314.090000000011</c:v>
                      </c:pt>
                      <c:pt idx="12">
                        <c:v>63289.339999999967</c:v>
                      </c:pt>
                      <c:pt idx="13">
                        <c:v>22298.119999999995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9F3-4ABC-B290-FECF911C3845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2021-22'!$X$3</c15:sqref>
                        </c15:formulaRef>
                      </c:ext>
                    </c:extLst>
                    <c:strCache>
                      <c:ptCount val="1"/>
                      <c:pt idx="0">
                        <c:v>ARPA Units Required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5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55000"/>
                      </a:schemeClr>
                    </a:solidFill>
                    <a:ln w="9525">
                      <a:solidFill>
                        <a:schemeClr val="accent1">
                          <a:tint val="5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2021-22'!$X$4:$X$17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45</c:v>
                      </c:pt>
                      <c:pt idx="1">
                        <c:v>31</c:v>
                      </c:pt>
                      <c:pt idx="2">
                        <c:v>20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13</c:v>
                      </c:pt>
                      <c:pt idx="6">
                        <c:v>21</c:v>
                      </c:pt>
                      <c:pt idx="7">
                        <c:v>27</c:v>
                      </c:pt>
                      <c:pt idx="8">
                        <c:v>16</c:v>
                      </c:pt>
                      <c:pt idx="9">
                        <c:v>17</c:v>
                      </c:pt>
                      <c:pt idx="10">
                        <c:v>8</c:v>
                      </c:pt>
                      <c:pt idx="11">
                        <c:v>22</c:v>
                      </c:pt>
                      <c:pt idx="12">
                        <c:v>47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49F3-4ABC-B290-FECF911C384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2021-22'!$Y$3</c15:sqref>
                        </c15:formulaRef>
                      </c:ext>
                    </c:extLst>
                    <c:strCache>
                      <c:ptCount val="1"/>
                      <c:pt idx="0">
                        <c:v>ARPA Units Completed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50000"/>
                      </a:schemeClr>
                    </a:solidFill>
                    <a:ln w="9525">
                      <a:solidFill>
                        <a:schemeClr val="accent1">
                          <a:tint val="5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2021-22'!$Y$4:$Y$17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8</c:v>
                      </c:pt>
                      <c:pt idx="1">
                        <c:v>21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5</c:v>
                      </c:pt>
                      <c:pt idx="5">
                        <c:v>8</c:v>
                      </c:pt>
                      <c:pt idx="6">
                        <c:v>15</c:v>
                      </c:pt>
                      <c:pt idx="7">
                        <c:v>4</c:v>
                      </c:pt>
                      <c:pt idx="8">
                        <c:v>15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11</c:v>
                      </c:pt>
                      <c:pt idx="12">
                        <c:v>15</c:v>
                      </c:pt>
                      <c:pt idx="13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49F3-4ABC-B290-FECF911C3845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2021-22'!$Z$3</c15:sqref>
                        </c15:formulaRef>
                      </c:ext>
                    </c:extLst>
                    <c:strCache>
                      <c:ptCount val="1"/>
                      <c:pt idx="0">
                        <c:v>% ARPA Units Completed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4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45000"/>
                      </a:schemeClr>
                    </a:solidFill>
                    <a:ln w="9525">
                      <a:solidFill>
                        <a:schemeClr val="accent1">
                          <a:tint val="4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2021-22'!$Z$4:$Z$17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0">
                        <c:v>0.17777777777777778</c:v>
                      </c:pt>
                      <c:pt idx="1">
                        <c:v>0.67741935483870963</c:v>
                      </c:pt>
                      <c:pt idx="2">
                        <c:v>0.3</c:v>
                      </c:pt>
                      <c:pt idx="3">
                        <c:v>0.7</c:v>
                      </c:pt>
                      <c:pt idx="4">
                        <c:v>0.5</c:v>
                      </c:pt>
                      <c:pt idx="5">
                        <c:v>0.61538461538461542</c:v>
                      </c:pt>
                      <c:pt idx="6">
                        <c:v>0.7142857142857143</c:v>
                      </c:pt>
                      <c:pt idx="7">
                        <c:v>0.14814814814814814</c:v>
                      </c:pt>
                      <c:pt idx="8">
                        <c:v>0.9375</c:v>
                      </c:pt>
                      <c:pt idx="9">
                        <c:v>0</c:v>
                      </c:pt>
                      <c:pt idx="10">
                        <c:v>0.125</c:v>
                      </c:pt>
                      <c:pt idx="11">
                        <c:v>0.5</c:v>
                      </c:pt>
                      <c:pt idx="12">
                        <c:v>0.31914893617021278</c:v>
                      </c:pt>
                      <c:pt idx="13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49F3-4ABC-B290-FECF911C3845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2021-22'!$AA$3</c15:sqref>
                        </c15:formulaRef>
                      </c:ext>
                    </c:extLst>
                    <c:strCache>
                      <c:ptCount val="1"/>
                      <c:pt idx="0">
                        <c:v>ARPA
TCPU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40000"/>
                      </a:schemeClr>
                    </a:solidFill>
                    <a:ln w="9525">
                      <a:solidFill>
                        <a:schemeClr val="accent1">
                          <a:tint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2021-22'!$AA$4:$AA$17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4"/>
                      <c:pt idx="0">
                        <c:v>6096.2937500000044</c:v>
                      </c:pt>
                      <c:pt idx="1">
                        <c:v>4933.3971428571431</c:v>
                      </c:pt>
                      <c:pt idx="2">
                        <c:v>4781.0766666666677</c:v>
                      </c:pt>
                      <c:pt idx="3">
                        <c:v>4693.3100000000004</c:v>
                      </c:pt>
                      <c:pt idx="4">
                        <c:v>7895.9099999999989</c:v>
                      </c:pt>
                      <c:pt idx="5">
                        <c:v>5415.0074999999997</c:v>
                      </c:pt>
                      <c:pt idx="6">
                        <c:v>4754.4599999999982</c:v>
                      </c:pt>
                      <c:pt idx="7">
                        <c:v>10437.985000000001</c:v>
                      </c:pt>
                      <c:pt idx="8">
                        <c:v>4983.5680000000002</c:v>
                      </c:pt>
                      <c:pt idx="9">
                        <c:v>0</c:v>
                      </c:pt>
                      <c:pt idx="10">
                        <c:v>4900</c:v>
                      </c:pt>
                      <c:pt idx="11">
                        <c:v>5664.9172727272735</c:v>
                      </c:pt>
                      <c:pt idx="12">
                        <c:v>4219.2893333333313</c:v>
                      </c:pt>
                      <c:pt idx="13">
                        <c:v>4459.6239999999989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49F3-4ABC-B290-FECF911C3845}"/>
                  </c:ext>
                </c:extLst>
              </c15:ser>
            </c15:filteredLineSeries>
            <c15:filteredLine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2021-22'!$AB$3</c15:sqref>
                        </c15:formulaRef>
                      </c:ext>
                    </c:extLst>
                    <c:strCache>
                      <c:ptCount val="1"/>
                      <c:pt idx="0">
                        <c:v> ARPA
Reallocation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3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35000"/>
                      </a:schemeClr>
                    </a:solidFill>
                    <a:ln w="9525">
                      <a:solidFill>
                        <a:schemeClr val="accent1">
                          <a:tint val="3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2021-22'!$A$4:$A$17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'Agency S&amp;P 2021-22'!$AB$4:$AB$17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49F3-4ABC-B290-FECF911C3845}"/>
                  </c:ext>
                </c:extLst>
              </c15:ser>
            </c15:filteredLineSeries>
          </c:ext>
        </c:extLst>
      </c:lineChart>
      <c:catAx>
        <c:axId val="195849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58496159"/>
        <c:crosses val="autoZero"/>
        <c:auto val="1"/>
        <c:lblAlgn val="ctr"/>
        <c:lblOffset val="100"/>
        <c:noMultiLvlLbl val="0"/>
      </c:catAx>
      <c:valAx>
        <c:axId val="1958496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5849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27226818166718"/>
          <c:y val="0.90980739069191119"/>
          <c:w val="0.5077170670121931"/>
          <c:h val="7.3374112669801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%</a:t>
            </a:r>
            <a:r>
              <a:rPr lang="en-US" baseline="0">
                <a:latin typeface="Arial Narrow" panose="020B0606020202030204" pitchFamily="34" charset="0"/>
              </a:rPr>
              <a:t> Units Completed by Fund Source</a:t>
            </a:r>
            <a:endParaRPr lang="en-US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'Agency S&amp;P 2021-22'!$H$3</c:f>
              <c:strCache>
                <c:ptCount val="1"/>
                <c:pt idx="0">
                  <c:v>% DOE Units Completed</c:v>
                </c:pt>
              </c:strCache>
            </c:strRef>
          </c:tx>
          <c:spPr>
            <a:ln w="28575" cap="rnd">
              <a:solidFill>
                <a:schemeClr val="accent2">
                  <a:shade val="6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67000"/>
                </a:schemeClr>
              </a:solidFill>
              <a:ln w="9525">
                <a:solidFill>
                  <a:schemeClr val="accent2">
                    <a:shade val="67000"/>
                  </a:schemeClr>
                </a:solidFill>
              </a:ln>
              <a:effectLst/>
            </c:spPr>
          </c:marker>
          <c:cat>
            <c:strRef>
              <c:f>'Agency S&amp;P 2021-22'!$A$4:$A$18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Total</c:v>
                </c:pt>
              </c:strCache>
            </c:strRef>
          </c:cat>
          <c:val>
            <c:numRef>
              <c:f>'Agency S&amp;P 2021-22'!$H$4:$H$17</c:f>
              <c:numCache>
                <c:formatCode>0.00%</c:formatCode>
                <c:ptCount val="14"/>
                <c:pt idx="0">
                  <c:v>1.3492063492063493</c:v>
                </c:pt>
                <c:pt idx="1">
                  <c:v>1.056338028169014</c:v>
                </c:pt>
                <c:pt idx="2">
                  <c:v>1.5384615384615385</c:v>
                </c:pt>
                <c:pt idx="3">
                  <c:v>1.9285714285714286</c:v>
                </c:pt>
                <c:pt idx="4">
                  <c:v>1.1875</c:v>
                </c:pt>
                <c:pt idx="5">
                  <c:v>1.05</c:v>
                </c:pt>
                <c:pt idx="6">
                  <c:v>1.4324324324324325</c:v>
                </c:pt>
                <c:pt idx="7">
                  <c:v>0.5161290322580645</c:v>
                </c:pt>
                <c:pt idx="8">
                  <c:v>0.91489361702127658</c:v>
                </c:pt>
                <c:pt idx="9">
                  <c:v>0.66666666666666663</c:v>
                </c:pt>
                <c:pt idx="10">
                  <c:v>2.8333333333333335</c:v>
                </c:pt>
                <c:pt idx="11">
                  <c:v>1.0217391304347827</c:v>
                </c:pt>
                <c:pt idx="12">
                  <c:v>1.0416666666666667</c:v>
                </c:pt>
                <c:pt idx="13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E-454A-B9CC-94B600B44076}"/>
            </c:ext>
          </c:extLst>
        </c:ser>
        <c:ser>
          <c:idx val="15"/>
          <c:order val="1"/>
          <c:tx>
            <c:strRef>
              <c:f>'Agency S&amp;P 2021-22'!$Q$3</c:f>
              <c:strCache>
                <c:ptCount val="1"/>
                <c:pt idx="0">
                  <c:v>% HHS Units Completed</c:v>
                </c:pt>
              </c:strCache>
            </c:strRef>
          </c:tx>
          <c:spPr>
            <a:ln w="28575" cap="rnd">
              <a:solidFill>
                <a:schemeClr val="accent2">
                  <a:tint val="8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84000"/>
                </a:schemeClr>
              </a:solidFill>
              <a:ln w="9525">
                <a:solidFill>
                  <a:schemeClr val="accent2">
                    <a:tint val="84000"/>
                  </a:schemeClr>
                </a:solidFill>
              </a:ln>
              <a:effectLst/>
            </c:spPr>
          </c:marker>
          <c:cat>
            <c:strRef>
              <c:f>'Agency S&amp;P 2021-22'!$A$4:$A$18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Total</c:v>
                </c:pt>
              </c:strCache>
            </c:strRef>
          </c:cat>
          <c:val>
            <c:numRef>
              <c:f>'Agency S&amp;P 2021-22'!$Q$4:$Q$17</c:f>
              <c:numCache>
                <c:formatCode>0.00%</c:formatCode>
                <c:ptCount val="14"/>
                <c:pt idx="0">
                  <c:v>0.42857142857142855</c:v>
                </c:pt>
                <c:pt idx="1">
                  <c:v>0.60377358490566035</c:v>
                </c:pt>
                <c:pt idx="2">
                  <c:v>0.58823529411764708</c:v>
                </c:pt>
                <c:pt idx="3">
                  <c:v>0.58823529411764708</c:v>
                </c:pt>
                <c:pt idx="4">
                  <c:v>0.3888888888888889</c:v>
                </c:pt>
                <c:pt idx="5">
                  <c:v>0.54545454545454541</c:v>
                </c:pt>
                <c:pt idx="6">
                  <c:v>0.63888888888888884</c:v>
                </c:pt>
                <c:pt idx="7">
                  <c:v>0.17391304347826086</c:v>
                </c:pt>
                <c:pt idx="8">
                  <c:v>0.59259259259259256</c:v>
                </c:pt>
                <c:pt idx="9">
                  <c:v>0.25</c:v>
                </c:pt>
                <c:pt idx="10">
                  <c:v>0.46153846153846156</c:v>
                </c:pt>
                <c:pt idx="11">
                  <c:v>0.57894736842105265</c:v>
                </c:pt>
                <c:pt idx="12">
                  <c:v>0.379746835443038</c:v>
                </c:pt>
                <c:pt idx="13">
                  <c:v>0.3125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E-454A-B9CC-94B600B44076}"/>
            </c:ext>
          </c:extLst>
        </c:ser>
        <c:ser>
          <c:idx val="24"/>
          <c:order val="2"/>
          <c:tx>
            <c:strRef>
              <c:f>'Agency S&amp;P 2021-22'!$Z$3</c:f>
              <c:strCache>
                <c:ptCount val="1"/>
                <c:pt idx="0">
                  <c:v>% ARPA Units Completed</c:v>
                </c:pt>
              </c:strCache>
            </c:strRef>
          </c:tx>
          <c:spPr>
            <a:ln w="28575" cap="rnd">
              <a:solidFill>
                <a:schemeClr val="accent2">
                  <a:tint val="3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36000"/>
                </a:schemeClr>
              </a:solidFill>
              <a:ln w="9525">
                <a:solidFill>
                  <a:schemeClr val="accent2">
                    <a:tint val="36000"/>
                  </a:schemeClr>
                </a:solidFill>
              </a:ln>
              <a:effectLst/>
            </c:spPr>
          </c:marker>
          <c:cat>
            <c:strRef>
              <c:f>'Agency S&amp;P 2021-22'!$A$4:$A$18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Total</c:v>
                </c:pt>
              </c:strCache>
            </c:strRef>
          </c:cat>
          <c:val>
            <c:numRef>
              <c:f>'Agency S&amp;P 2021-22'!$Z$4:$Z$17</c:f>
              <c:numCache>
                <c:formatCode>0.00%</c:formatCode>
                <c:ptCount val="14"/>
                <c:pt idx="0">
                  <c:v>0.17777777777777778</c:v>
                </c:pt>
                <c:pt idx="1">
                  <c:v>0.67741935483870963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  <c:pt idx="5">
                  <c:v>0.61538461538461542</c:v>
                </c:pt>
                <c:pt idx="6">
                  <c:v>0.7142857142857143</c:v>
                </c:pt>
                <c:pt idx="7">
                  <c:v>0.14814814814814814</c:v>
                </c:pt>
                <c:pt idx="8">
                  <c:v>0.9375</c:v>
                </c:pt>
                <c:pt idx="9">
                  <c:v>0</c:v>
                </c:pt>
                <c:pt idx="10">
                  <c:v>0.125</c:v>
                </c:pt>
                <c:pt idx="11">
                  <c:v>0.5</c:v>
                </c:pt>
                <c:pt idx="12">
                  <c:v>0.31914893617021278</c:v>
                </c:pt>
                <c:pt idx="1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E-454A-B9CC-94B600B4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294591"/>
        <c:axId val="729292927"/>
      </c:lineChart>
      <c:catAx>
        <c:axId val="72929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29292927"/>
        <c:crosses val="autoZero"/>
        <c:auto val="1"/>
        <c:lblAlgn val="ctr"/>
        <c:lblOffset val="100"/>
        <c:noMultiLvlLbl val="0"/>
      </c:catAx>
      <c:valAx>
        <c:axId val="72929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292945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349250</xdr:colOff>
      <xdr:row>19</xdr:row>
      <xdr:rowOff>112712</xdr:rowOff>
    </xdr:from>
    <xdr:to>
      <xdr:col>14</xdr:col>
      <xdr:colOff>0</xdr:colOff>
      <xdr:row>44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E5056F-4CEC-4EFC-837F-952EB469D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190500</xdr:colOff>
      <xdr:row>19</xdr:row>
      <xdr:rowOff>137583</xdr:rowOff>
    </xdr:from>
    <xdr:to>
      <xdr:col>24</xdr:col>
      <xdr:colOff>645583</xdr:colOff>
      <xdr:row>45</xdr:row>
      <xdr:rowOff>63499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40A71B-77A3-47EC-9E8E-60E50C0F7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udent%20grade%20and%20GPA%20tracker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-2013/Users/andrea/AppData/Local/Microsoft/Windows/Temporary%20Internet%20Files/Content.Outlook/902VOV20/WAP%20Contract%20Lifecycle%20Tra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 Tracker"/>
      <sheetName val="Your Performance"/>
      <sheetName val="Settings"/>
      <sheetName val="Calculations"/>
      <sheetName val="Student grade and GPA tracker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PARAMETERS"/>
      <sheetName val="CONTRACT DETAILS"/>
      <sheetName val="WAP Contract Lifecycle Tracking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7CE463-868B-4777-BE2F-07142BF9375F}" name="Table3" displayName="Table3" ref="A3:AB18" totalsRowCount="1" headerRowDxfId="78" dataDxfId="77" totalsRowDxfId="76">
  <autoFilter ref="A3:AB17" xr:uid="{BF46565A-AD51-4BDC-9E59-8AC95BBAA9E4}"/>
  <sortState xmlns:xlrd2="http://schemas.microsoft.com/office/spreadsheetml/2017/richdata2" ref="A4:AB17">
    <sortCondition ref="A3:A17"/>
  </sortState>
  <tableColumns count="28">
    <tableColumn id="1" xr3:uid="{54B0543C-B0DC-443F-99E3-FE43F569BA49}" name="Agency " totalsRowLabel="Total" dataDxfId="75" totalsRowDxfId="74"/>
    <tableColumn id="2" xr3:uid="{74082846-77D8-4E8A-82C2-9491D76493C6}" name="DOE _x000a_2021-22" totalsRowFunction="sum" dataDxfId="73" totalsRowDxfId="72" dataCellStyle="Currency"/>
    <tableColumn id="3" xr3:uid="{30128CBA-F92F-4868-B477-65CBF5D9037F}" name="DOE _x000a_Balance" totalsRowFunction="sum" dataDxfId="71" totalsRowDxfId="70" dataCellStyle="Currency"/>
    <tableColumn id="4" xr3:uid="{8CE5CEEE-94A1-4F4E-8305-0FE458C7B09F}" name="DOE_x000a_Spent" totalsRowFunction="sum" dataDxfId="69" totalsRowDxfId="68" dataCellStyle="Currency">
      <calculatedColumnFormula>SUM(B4-C4)</calculatedColumnFormula>
    </tableColumn>
    <tableColumn id="5" xr3:uid="{421584C7-3A53-43EF-99CD-1B6611D0557A}" name="DOE % Spent" totalsRowFunction="custom" dataDxfId="67" totalsRowDxfId="66" dataCellStyle="Percent">
      <calculatedColumnFormula>SUM(D4/B4)</calculatedColumnFormula>
      <totalsRowFormula>SUM(D18/B18)</totalsRowFormula>
    </tableColumn>
    <tableColumn id="6" xr3:uid="{58D2836A-0D0A-4C57-9B30-52C18584AE5F}" name="DOE Units Required " totalsRowFunction="sum" dataDxfId="65" totalsRowDxfId="64"/>
    <tableColumn id="7" xr3:uid="{859CAB6A-D07C-42D5-AB8B-F0059D31EBF0}" name="DOE Units Completed" totalsRowFunction="sum" dataDxfId="63" totalsRowDxfId="62"/>
    <tableColumn id="26" xr3:uid="{29E92D42-D1C5-4F48-955B-3C6B3017DC88}" name="% DOE Units Completed" totalsRowFunction="custom" dataDxfId="61" totalsRowDxfId="60">
      <calculatedColumnFormula>SUM(Table3[[#This Row],[DOE Units Completed]]/Table3[[#This Row],[DOE Units Required ]])</calculatedColumnFormula>
      <totalsRowFormula>SUM(G18/F18)</totalsRowFormula>
    </tableColumn>
    <tableColumn id="8" xr3:uid="{AE3D6685-3C97-4570-9FF7-DB147284EDA0}" name="DOE_x000a_TCPU" totalsRowFunction="custom" dataDxfId="59" totalsRowDxfId="58">
      <calculatedColumnFormula>SUM(B4-C4)/G4</calculatedColumnFormula>
      <totalsRowFormula>SUM(D18/G18)</totalsRowFormula>
    </tableColumn>
    <tableColumn id="9" xr3:uid="{3076BB09-5E85-4AFD-AB10-AE80AA6DBD5D}" name="DOE_x000a_Reallocation" totalsRowFunction="sum" dataDxfId="57" totalsRowDxfId="56"/>
    <tableColumn id="10" xr3:uid="{7B5E043B-E25A-46DA-8C53-2FBA793E7E5D}" name="HHS _x000a_2021-22" totalsRowFunction="sum" dataDxfId="55" totalsRowDxfId="54" dataCellStyle="Currency"/>
    <tableColumn id="11" xr3:uid="{13C4ED58-3067-481D-92B6-9DC096C2E217}" name="HHS_x000a_Balance" totalsRowFunction="sum" dataDxfId="53" totalsRowDxfId="52" dataCellStyle="Currency"/>
    <tableColumn id="12" xr3:uid="{2EFC6846-10ED-4DC0-B7DA-EA6D28E9185F}" name="HHS_x000a_Spent" totalsRowFunction="sum" dataDxfId="51" totalsRowDxfId="50" dataCellStyle="Currency">
      <calculatedColumnFormula>SUM(K4-L4)</calculatedColumnFormula>
    </tableColumn>
    <tableColumn id="13" xr3:uid="{238DEAEB-3119-4544-9554-4C0882BFB5C4}" name="HHS % Spent" totalsRowFunction="custom" dataDxfId="49" totalsRowDxfId="48">
      <calculatedColumnFormula>SUM(M4/K4)</calculatedColumnFormula>
      <totalsRowFormula>SUM(M18/K18)</totalsRowFormula>
    </tableColumn>
    <tableColumn id="14" xr3:uid="{CA62ECB0-96C6-42AF-BA6E-080D496E6D5D}" name="HHS Units Required" totalsRowFunction="sum" dataDxfId="47" totalsRowDxfId="46"/>
    <tableColumn id="15" xr3:uid="{40370619-8065-4955-B13B-EAC6CBC08AA5}" name="HHS Units Completed " totalsRowFunction="sum" dataDxfId="45" totalsRowDxfId="44"/>
    <tableColumn id="27" xr3:uid="{C6EBD5C0-CEBB-4AC4-87F1-6324C2EDD3BE}" name="% HHS Units Completed" totalsRowFunction="custom" dataDxfId="43" totalsRowDxfId="42">
      <calculatedColumnFormula>SUM(Table3[[#This Row],[HHS Units Completed ]]/Table3[[#This Row],[HHS Units Required]])</calculatedColumnFormula>
      <totalsRowFormula>SUM(P18/O18)</totalsRowFormula>
    </tableColumn>
    <tableColumn id="16" xr3:uid="{B9D55BF0-8A51-4206-83B3-B5DF019F8EBB}" name="HHS_x000a_TCPU" totalsRowFunction="custom" dataDxfId="41" totalsRowDxfId="40">
      <calculatedColumnFormula>SUM(K4-L4)/P4</calculatedColumnFormula>
      <totalsRowFormula>SUM(M18/P18)</totalsRowFormula>
    </tableColumn>
    <tableColumn id="17" xr3:uid="{8C61E798-045C-421C-96CE-1BFADD3C8272}" name="HHS_x000a_Reallocation" dataDxfId="39" totalsRowDxfId="38" dataCellStyle="Currency"/>
    <tableColumn id="18" xr3:uid="{463D6A1F-6C65-47C7-ADCF-02A0519D3833}" name="DHS ARPA_x000a_2021-22" totalsRowFunction="sum" dataDxfId="37" totalsRowDxfId="36" dataCellStyle="Currency"/>
    <tableColumn id="19" xr3:uid="{BBF8D809-1346-4ADE-B44C-6EF75E767122}" name="ARPA_x000a_Balance" totalsRowFunction="sum" dataDxfId="35" totalsRowDxfId="34" dataCellStyle="Currency"/>
    <tableColumn id="20" xr3:uid="{2B7AEB77-72ED-455E-873D-2F539FE12AD2}" name="ARPA_x000a_Spent" totalsRowFunction="sum" dataDxfId="33" totalsRowDxfId="32" dataCellStyle="Currency">
      <calculatedColumnFormula>SUM(T4-U4)</calculatedColumnFormula>
    </tableColumn>
    <tableColumn id="21" xr3:uid="{03F5A779-2FC7-454B-9D32-C490359DA3BE}" name="ARPA % Spent" totalsRowFunction="custom" dataDxfId="31" totalsRowDxfId="30" dataCellStyle="Percent">
      <calculatedColumnFormula>SUM(V4/T4)</calculatedColumnFormula>
      <totalsRowFormula>SUM(V18/T18)</totalsRowFormula>
    </tableColumn>
    <tableColumn id="22" xr3:uid="{B204F1B6-EEC3-4E8C-BB73-824789A3E654}" name="ARPA Units Required" totalsRowFunction="sum" dataDxfId="29" totalsRowDxfId="28"/>
    <tableColumn id="23" xr3:uid="{A8FC8303-E7B5-4278-A1E6-0A80EC5EAFD0}" name="ARPA Units Completed" totalsRowFunction="sum" dataDxfId="27" totalsRowDxfId="26"/>
    <tableColumn id="28" xr3:uid="{6D90EEEB-D125-491A-95E4-E26214689A06}" name="% ARPA Units Completed" totalsRowFunction="custom" dataDxfId="25" totalsRowDxfId="24">
      <calculatedColumnFormula>SUM(Table3[[#This Row],[ARPA Units Completed]])/(Table3[[#This Row],[ARPA Units Required]])</calculatedColumnFormula>
      <totalsRowFormula>SUM(Y18/X18)</totalsRowFormula>
    </tableColumn>
    <tableColumn id="24" xr3:uid="{D3F7B86F-FA45-418D-8680-7E7EA20335EE}" name="ARPA_x000a_TCPU" totalsRowFunction="custom" dataDxfId="23" totalsRowDxfId="22">
      <calculatedColumnFormula>SUM(T4-U4)/Y4</calculatedColumnFormula>
      <totalsRowFormula>SUM(V18/Y18)</totalsRowFormula>
    </tableColumn>
    <tableColumn id="25" xr3:uid="{0D14A2FC-3462-4DFD-AC02-53B458E1F365}" name="ARPA_x000a_Reallocation" totalsRowFunction="count" dataDxfId="21" totalsRowDxfId="2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7614CD-49EA-4FBE-8F44-F908B1ADB745}" name="Table22" displayName="Table22" ref="AD3:AK18" totalsRowCount="1" headerRowDxfId="19" dataDxfId="18" totalsRowDxfId="16" tableBorderDxfId="17">
  <autoFilter ref="AD3:AK17" xr:uid="{C9CC955A-9A66-4C2A-AA9D-80AD582B4423}"/>
  <tableColumns count="8">
    <tableColumn id="1" xr3:uid="{DDE0872F-12A3-4CF0-9060-6AACED0FF560}" name="Agency" totalsRowLabel="Total" dataDxfId="15" totalsRowDxfId="14"/>
    <tableColumn id="2" xr3:uid="{80E67B5C-F361-4C61-B578-0014F6146EF5}" name="All Funds _x000a_Budget" totalsRowFunction="sum" dataDxfId="13" totalsRowDxfId="12">
      <calculatedColumnFormula>SUM(B4+K4+T4)</calculatedColumnFormula>
    </tableColumn>
    <tableColumn id="3" xr3:uid="{9C8C810B-81FE-4C7F-A77A-638E2128FB65}" name="All Funds _x000a_Balance" totalsRowFunction="sum" dataDxfId="11" totalsRowDxfId="10">
      <calculatedColumnFormula>SUM(C4+L4+U4)</calculatedColumnFormula>
    </tableColumn>
    <tableColumn id="4" xr3:uid="{3378FE13-5590-4D3A-AE45-49531DB0BEA0}" name="All Funds _x000a_Spent" totalsRowFunction="sum" dataDxfId="9" totalsRowDxfId="8">
      <calculatedColumnFormula>SUM(D4+M4+V4)</calculatedColumnFormula>
    </tableColumn>
    <tableColumn id="5" xr3:uid="{842E63B5-A432-42EA-9B8F-24A6CF0BF7BE}" name="All Funds _x000a_% Spent" totalsRowFunction="custom" dataDxfId="7" totalsRowDxfId="6" totalsRowCellStyle="Percent">
      <calculatedColumnFormula>SUM(AG4/AE4)</calculatedColumnFormula>
      <totalsRowFormula>SUM(Table22[[#Totals],[All Funds 
Spent]]/Table22[[#Totals],[All Funds 
Budget]])</totalsRowFormula>
    </tableColumn>
    <tableColumn id="6" xr3:uid="{B6997B7E-1662-4AEC-A446-861A1FF1BE2F}" name="All Units Required" totalsRowFunction="sum" dataDxfId="5" totalsRowDxfId="4" totalsRowCellStyle="Comma">
      <calculatedColumnFormula>SUM(F4+O4+X4)</calculatedColumnFormula>
    </tableColumn>
    <tableColumn id="7" xr3:uid="{76D758E2-5D5C-4ED8-A3DB-96753BA5CFB3}" name="All Units Completed" totalsRowFunction="sum" dataDxfId="3" totalsRowDxfId="2">
      <calculatedColumnFormula>SUM(G4+P4+Y4)</calculatedColumnFormula>
    </tableColumn>
    <tableColumn id="8" xr3:uid="{9FF8D309-BAEB-4CE3-ABCE-1C92FB7E1489}" name="% All Units Completed" totalsRowFunction="custom" dataDxfId="1" totalsRowDxfId="0">
      <calculatedColumnFormula>SUM(AJ4/AI4)</calculatedColumnFormula>
      <totalsRowFormula>SUM(Table22[[#Totals],[All Units Completed]]/Table22[[#Totals],[All Units Required]])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0448-A9A0-41C7-95E9-4CBD833CA8E1}">
  <sheetPr>
    <pageSetUpPr fitToPage="1"/>
  </sheetPr>
  <dimension ref="A1:AK50"/>
  <sheetViews>
    <sheetView showGridLines="0" tabSelected="1" zoomScaleNormal="100" workbookViewId="0">
      <pane xSplit="1" topLeftCell="B1" activePane="topRight" state="frozen"/>
      <selection activeCell="C7" sqref="C7"/>
      <selection pane="topRight" activeCell="B48" sqref="B48:B50"/>
    </sheetView>
  </sheetViews>
  <sheetFormatPr defaultColWidth="16.44140625" defaultRowHeight="15.5" x14ac:dyDescent="0.35"/>
  <cols>
    <col min="1" max="1" width="15.6640625" style="8" bestFit="1" customWidth="1"/>
    <col min="2" max="2" width="18.44140625" style="8" bestFit="1" customWidth="1"/>
    <col min="3" max="3" width="17.6640625" style="8" bestFit="1" customWidth="1"/>
    <col min="4" max="4" width="18.44140625" style="8" bestFit="1" customWidth="1"/>
    <col min="5" max="5" width="13.33203125" style="9" customWidth="1"/>
    <col min="6" max="6" width="12.44140625" style="8" customWidth="1"/>
    <col min="7" max="7" width="13.109375" style="8" customWidth="1"/>
    <col min="8" max="8" width="14.6640625" style="8" customWidth="1"/>
    <col min="9" max="9" width="14" style="8" customWidth="1"/>
    <col min="10" max="10" width="17.6640625" style="10" customWidth="1"/>
    <col min="11" max="11" width="18.109375" style="11" customWidth="1"/>
    <col min="12" max="12" width="16.77734375" style="11" bestFit="1" customWidth="1"/>
    <col min="13" max="13" width="17.6640625" style="8" bestFit="1" customWidth="1"/>
    <col min="14" max="14" width="13.6640625" style="8" customWidth="1"/>
    <col min="15" max="15" width="13.77734375" style="8" customWidth="1"/>
    <col min="16" max="16" width="14.6640625" style="8" customWidth="1"/>
    <col min="17" max="17" width="16.44140625" style="8" customWidth="1"/>
    <col min="18" max="18" width="14.33203125" style="8" customWidth="1"/>
    <col min="19" max="19" width="16.77734375" style="8" customWidth="1"/>
    <col min="20" max="20" width="18.109375" style="12" bestFit="1" customWidth="1"/>
    <col min="21" max="21" width="16.44140625" style="12" customWidth="1"/>
    <col min="22" max="22" width="14.6640625" style="11" bestFit="1" customWidth="1"/>
    <col min="23" max="23" width="14" style="8" customWidth="1"/>
    <col min="24" max="24" width="16.33203125" style="8" customWidth="1"/>
    <col min="25" max="25" width="16.44140625" style="8" customWidth="1"/>
    <col min="26" max="26" width="17.77734375" style="8" customWidth="1"/>
    <col min="27" max="27" width="15" style="8" customWidth="1"/>
    <col min="28" max="28" width="17.77734375" style="8" customWidth="1"/>
    <col min="29" max="29" width="5.109375" style="8" customWidth="1"/>
    <col min="30" max="30" width="11" style="8" customWidth="1"/>
    <col min="31" max="32" width="20.44140625" style="8" bestFit="1" customWidth="1"/>
    <col min="33" max="33" width="18.109375" style="8" bestFit="1" customWidth="1"/>
    <col min="34" max="34" width="16.6640625" style="8" bestFit="1" customWidth="1"/>
    <col min="35" max="35" width="15.6640625" style="8" customWidth="1"/>
    <col min="36" max="37" width="16" style="8" customWidth="1"/>
    <col min="38" max="16384" width="16.44140625" style="8"/>
  </cols>
  <sheetData>
    <row r="1" spans="1:37" s="5" customFormat="1" x14ac:dyDescent="0.3">
      <c r="A1" s="1" t="s">
        <v>0</v>
      </c>
      <c r="B1" s="2">
        <v>44616</v>
      </c>
      <c r="C1" s="1" t="s">
        <v>1</v>
      </c>
      <c r="D1" s="3" t="s">
        <v>2</v>
      </c>
      <c r="E1" s="4"/>
      <c r="J1" s="6"/>
      <c r="K1" s="6"/>
      <c r="L1" s="6"/>
      <c r="T1" s="7"/>
      <c r="U1" s="7"/>
      <c r="V1" s="6"/>
    </row>
    <row r="2" spans="1:37" ht="9" customHeight="1" x14ac:dyDescent="0.35"/>
    <row r="3" spans="1:37" s="22" customFormat="1" ht="45" customHeight="1" thickBot="1" x14ac:dyDescent="0.35">
      <c r="A3" s="13" t="s">
        <v>3</v>
      </c>
      <c r="B3" s="14" t="s">
        <v>4</v>
      </c>
      <c r="C3" s="15" t="s">
        <v>5</v>
      </c>
      <c r="D3" s="14" t="s">
        <v>6</v>
      </c>
      <c r="E3" s="16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7" t="s">
        <v>12</v>
      </c>
      <c r="K3" s="18" t="s">
        <v>13</v>
      </c>
      <c r="L3" s="18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  <c r="S3" s="18" t="s">
        <v>21</v>
      </c>
      <c r="T3" s="20" t="s">
        <v>22</v>
      </c>
      <c r="U3" s="20" t="s">
        <v>23</v>
      </c>
      <c r="V3" s="20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0" t="s">
        <v>30</v>
      </c>
      <c r="AD3" s="23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</row>
    <row r="4" spans="1:37" ht="20.149999999999999" customHeight="1" x14ac:dyDescent="0.35">
      <c r="A4" s="67">
        <v>1</v>
      </c>
      <c r="B4" s="25">
        <v>613232.52</v>
      </c>
      <c r="C4" s="25">
        <v>167990.23</v>
      </c>
      <c r="D4" s="11">
        <f t="shared" ref="D4:D17" si="0">SUM(B4-C4)</f>
        <v>445242.29000000004</v>
      </c>
      <c r="E4" s="26">
        <f t="shared" ref="E4:E18" si="1">SUM(D4/B4)</f>
        <v>0.72605785811880952</v>
      </c>
      <c r="F4" s="27">
        <v>63</v>
      </c>
      <c r="G4" s="27">
        <v>85</v>
      </c>
      <c r="H4" s="28">
        <f>SUM(Table3[[#This Row],[DOE Units Completed]]/Table3[[#This Row],[DOE Units Required ]])</f>
        <v>1.3492063492063493</v>
      </c>
      <c r="I4" s="29">
        <f t="shared" ref="I4:I17" si="2">SUM(B4-C4)/G4</f>
        <v>5238.1445882352946</v>
      </c>
      <c r="J4" s="30"/>
      <c r="K4" s="31">
        <v>621857.89</v>
      </c>
      <c r="L4" s="31">
        <v>425098.47</v>
      </c>
      <c r="M4" s="25">
        <f t="shared" ref="M4:M17" si="3">SUM(K4-L4)</f>
        <v>196759.42000000004</v>
      </c>
      <c r="N4" s="32">
        <f t="shared" ref="N4:N17" si="4">SUM(M4/K4)</f>
        <v>0.31640576273785004</v>
      </c>
      <c r="O4" s="27">
        <v>77</v>
      </c>
      <c r="P4" s="27">
        <v>33</v>
      </c>
      <c r="Q4" s="28">
        <f>SUM(Table3[[#This Row],[HHS Units Completed ]]/Table3[[#This Row],[HHS Units Required]])</f>
        <v>0.42857142857142855</v>
      </c>
      <c r="R4" s="29">
        <f t="shared" ref="R4:R17" si="5">SUM(K4-L4)/P4</f>
        <v>5962.4066666666677</v>
      </c>
      <c r="S4" s="33"/>
      <c r="T4" s="25">
        <v>362910.33</v>
      </c>
      <c r="U4" s="25">
        <v>314139.98</v>
      </c>
      <c r="V4" s="25">
        <f t="shared" ref="V4:V17" si="6">SUM(T4-U4)</f>
        <v>48770.350000000035</v>
      </c>
      <c r="W4" s="28">
        <f t="shared" ref="W4:W17" si="7">SUM(V4/T4)</f>
        <v>0.13438677813332023</v>
      </c>
      <c r="X4" s="27">
        <v>45</v>
      </c>
      <c r="Y4" s="27">
        <v>8</v>
      </c>
      <c r="Z4" s="28">
        <f>SUM(Table3[[#This Row],[ARPA Units Completed]])/(Table3[[#This Row],[ARPA Units Required]])</f>
        <v>0.17777777777777778</v>
      </c>
      <c r="AA4" s="34">
        <f t="shared" ref="AA4:AA17" si="8">SUM(T4-U4)/Y4</f>
        <v>6096.2937500000044</v>
      </c>
      <c r="AD4" s="66">
        <v>1</v>
      </c>
      <c r="AE4" s="35">
        <f t="shared" ref="AE4:AG17" si="9">SUM(B4+K4+T4)</f>
        <v>1598000.7400000002</v>
      </c>
      <c r="AF4" s="35">
        <f t="shared" si="9"/>
        <v>907228.67999999993</v>
      </c>
      <c r="AG4" s="35">
        <f t="shared" si="9"/>
        <v>690772.06</v>
      </c>
      <c r="AH4" s="36">
        <f t="shared" ref="AH4:AH17" si="10">SUM(AG4/AE4)</f>
        <v>0.43227267842191358</v>
      </c>
      <c r="AI4" s="37">
        <f t="shared" ref="AI4:AJ17" si="11">SUM(F4+O4+X4)</f>
        <v>185</v>
      </c>
      <c r="AJ4" s="37">
        <f t="shared" si="11"/>
        <v>126</v>
      </c>
      <c r="AK4" s="36">
        <f t="shared" ref="AK4:AK17" si="12">SUM(AJ4/AI4)</f>
        <v>0.68108108108108112</v>
      </c>
    </row>
    <row r="5" spans="1:37" ht="20.149999999999999" customHeight="1" x14ac:dyDescent="0.35">
      <c r="A5" s="67">
        <v>2</v>
      </c>
      <c r="B5" s="25">
        <f>SUM(416142.06)+J5</f>
        <v>549895.19999999995</v>
      </c>
      <c r="C5" s="25">
        <v>142269.54</v>
      </c>
      <c r="D5" s="11">
        <f t="shared" si="0"/>
        <v>407625.65999999992</v>
      </c>
      <c r="E5" s="26">
        <f t="shared" si="1"/>
        <v>0.74127881094433989</v>
      </c>
      <c r="F5" s="27">
        <v>71</v>
      </c>
      <c r="G5" s="27">
        <v>75</v>
      </c>
      <c r="H5" s="28">
        <f>SUM(Table3[[#This Row],[DOE Units Completed]]/Table3[[#This Row],[DOE Units Required ]])</f>
        <v>1.056338028169014</v>
      </c>
      <c r="I5" s="29">
        <f t="shared" si="2"/>
        <v>5435.0087999999987</v>
      </c>
      <c r="J5" s="30">
        <v>133753.14000000001</v>
      </c>
      <c r="K5" s="31">
        <v>420588.64</v>
      </c>
      <c r="L5" s="31">
        <v>201301.2</v>
      </c>
      <c r="M5" s="25">
        <f t="shared" si="3"/>
        <v>219287.44</v>
      </c>
      <c r="N5" s="32">
        <f t="shared" si="4"/>
        <v>0.52138222278186119</v>
      </c>
      <c r="O5" s="27">
        <v>53</v>
      </c>
      <c r="P5" s="27">
        <v>32</v>
      </c>
      <c r="Q5" s="28">
        <f>SUM(Table3[[#This Row],[HHS Units Completed ]]/Table3[[#This Row],[HHS Units Required]])</f>
        <v>0.60377358490566035</v>
      </c>
      <c r="R5" s="29">
        <f t="shared" si="5"/>
        <v>6852.7325000000001</v>
      </c>
      <c r="S5" s="38"/>
      <c r="T5" s="25">
        <v>245451.51999999999</v>
      </c>
      <c r="U5" s="25">
        <v>141850.18</v>
      </c>
      <c r="V5" s="25">
        <f t="shared" si="6"/>
        <v>103601.34</v>
      </c>
      <c r="W5" s="28">
        <f t="shared" si="7"/>
        <v>0.42208473591852275</v>
      </c>
      <c r="X5" s="27">
        <v>31</v>
      </c>
      <c r="Y5" s="27">
        <v>21</v>
      </c>
      <c r="Z5" s="28">
        <f>SUM(Table3[[#This Row],[ARPA Units Completed]])/(Table3[[#This Row],[ARPA Units Required]])</f>
        <v>0.67741935483870963</v>
      </c>
      <c r="AA5" s="34">
        <f t="shared" si="8"/>
        <v>4933.3971428571431</v>
      </c>
      <c r="AD5" s="66">
        <v>2</v>
      </c>
      <c r="AE5" s="39">
        <f t="shared" si="9"/>
        <v>1215935.3599999999</v>
      </c>
      <c r="AF5" s="39">
        <f t="shared" si="9"/>
        <v>485420.92</v>
      </c>
      <c r="AG5" s="39">
        <f t="shared" si="9"/>
        <v>730514.43999999983</v>
      </c>
      <c r="AH5" s="40">
        <f t="shared" si="10"/>
        <v>0.60078394298854831</v>
      </c>
      <c r="AI5" s="41">
        <f t="shared" si="11"/>
        <v>155</v>
      </c>
      <c r="AJ5" s="41">
        <f t="shared" si="11"/>
        <v>128</v>
      </c>
      <c r="AK5" s="40">
        <f t="shared" si="12"/>
        <v>0.82580645161290323</v>
      </c>
    </row>
    <row r="6" spans="1:37" ht="19.5" customHeight="1" x14ac:dyDescent="0.35">
      <c r="A6" s="67">
        <v>3</v>
      </c>
      <c r="B6" s="25">
        <v>269581.08</v>
      </c>
      <c r="C6" s="25">
        <v>56130.39</v>
      </c>
      <c r="D6" s="11">
        <f t="shared" si="0"/>
        <v>213450.69</v>
      </c>
      <c r="E6" s="26">
        <f t="shared" si="1"/>
        <v>0.7917866120278173</v>
      </c>
      <c r="F6" s="27">
        <v>26</v>
      </c>
      <c r="G6" s="27">
        <v>40</v>
      </c>
      <c r="H6" s="28">
        <f>SUM(Table3[[#This Row],[DOE Units Completed]]/Table3[[#This Row],[DOE Units Required ]])</f>
        <v>1.5384615384615385</v>
      </c>
      <c r="I6" s="29">
        <f t="shared" si="2"/>
        <v>5336.2672499999999</v>
      </c>
      <c r="J6" s="30"/>
      <c r="K6" s="31">
        <v>270920.21000000002</v>
      </c>
      <c r="L6" s="31">
        <v>161297.82</v>
      </c>
      <c r="M6" s="25">
        <f t="shared" si="3"/>
        <v>109622.39000000001</v>
      </c>
      <c r="N6" s="32">
        <f t="shared" si="4"/>
        <v>0.40462979856689174</v>
      </c>
      <c r="O6" s="27">
        <v>34</v>
      </c>
      <c r="P6" s="27">
        <v>20</v>
      </c>
      <c r="Q6" s="28">
        <f>SUM(Table3[[#This Row],[HHS Units Completed ]]/Table3[[#This Row],[HHS Units Required]])</f>
        <v>0.58823529411764708</v>
      </c>
      <c r="R6" s="29">
        <f t="shared" si="5"/>
        <v>5481.1195000000007</v>
      </c>
      <c r="S6" s="38"/>
      <c r="T6" s="25">
        <v>158106.45000000001</v>
      </c>
      <c r="U6" s="25">
        <v>129419.99</v>
      </c>
      <c r="V6" s="25">
        <f t="shared" si="6"/>
        <v>28686.460000000006</v>
      </c>
      <c r="W6" s="28">
        <f t="shared" si="7"/>
        <v>0.18143763268354962</v>
      </c>
      <c r="X6" s="27">
        <v>20</v>
      </c>
      <c r="Y6" s="27">
        <v>6</v>
      </c>
      <c r="Z6" s="28">
        <f>SUM(Table3[[#This Row],[ARPA Units Completed]])/(Table3[[#This Row],[ARPA Units Required]])</f>
        <v>0.3</v>
      </c>
      <c r="AA6" s="34">
        <f t="shared" si="8"/>
        <v>4781.0766666666677</v>
      </c>
      <c r="AD6" s="66">
        <v>3</v>
      </c>
      <c r="AE6" s="42">
        <f t="shared" si="9"/>
        <v>698607.74</v>
      </c>
      <c r="AF6" s="42">
        <f t="shared" si="9"/>
        <v>346848.2</v>
      </c>
      <c r="AG6" s="42">
        <f t="shared" si="9"/>
        <v>351759.54000000004</v>
      </c>
      <c r="AH6" s="43">
        <f t="shared" si="10"/>
        <v>0.50351509131576477</v>
      </c>
      <c r="AI6" s="44">
        <f t="shared" si="11"/>
        <v>80</v>
      </c>
      <c r="AJ6" s="44">
        <f t="shared" si="11"/>
        <v>66</v>
      </c>
      <c r="AK6" s="43">
        <f t="shared" si="12"/>
        <v>0.82499999999999996</v>
      </c>
    </row>
    <row r="7" spans="1:37" ht="19.5" customHeight="1" x14ac:dyDescent="0.35">
      <c r="A7" s="67">
        <v>4</v>
      </c>
      <c r="B7" s="25">
        <v>134987.6</v>
      </c>
      <c r="C7" s="25">
        <v>4300.08</v>
      </c>
      <c r="D7" s="11">
        <f t="shared" si="0"/>
        <v>130687.52</v>
      </c>
      <c r="E7" s="26">
        <f t="shared" si="1"/>
        <v>0.96814462958079106</v>
      </c>
      <c r="F7" s="27">
        <v>14</v>
      </c>
      <c r="G7" s="27">
        <v>27</v>
      </c>
      <c r="H7" s="28">
        <f>SUM(Table3[[#This Row],[DOE Units Completed]]/Table3[[#This Row],[DOE Units Required ]])</f>
        <v>1.9285714285714286</v>
      </c>
      <c r="I7" s="29">
        <f t="shared" si="2"/>
        <v>4840.2785185185185</v>
      </c>
      <c r="J7" s="30"/>
      <c r="K7" s="31">
        <v>133473.01</v>
      </c>
      <c r="L7" s="31">
        <v>70418.740000000005</v>
      </c>
      <c r="M7" s="25">
        <f t="shared" si="3"/>
        <v>63054.270000000004</v>
      </c>
      <c r="N7" s="32">
        <f t="shared" si="4"/>
        <v>0.47241213785468689</v>
      </c>
      <c r="O7" s="27">
        <v>17</v>
      </c>
      <c r="P7" s="27">
        <v>10</v>
      </c>
      <c r="Q7" s="28">
        <f>SUM(Table3[[#This Row],[HHS Units Completed ]]/Table3[[#This Row],[HHS Units Required]])</f>
        <v>0.58823529411764708</v>
      </c>
      <c r="R7" s="29">
        <f t="shared" si="5"/>
        <v>6305.4270000000006</v>
      </c>
      <c r="S7" s="38"/>
      <c r="T7" s="25">
        <v>77893.570000000007</v>
      </c>
      <c r="U7" s="25">
        <v>45040.4</v>
      </c>
      <c r="V7" s="25">
        <f t="shared" si="6"/>
        <v>32853.170000000006</v>
      </c>
      <c r="W7" s="28">
        <f t="shared" si="7"/>
        <v>0.4217699869193311</v>
      </c>
      <c r="X7" s="27">
        <v>10</v>
      </c>
      <c r="Y7" s="27">
        <v>7</v>
      </c>
      <c r="Z7" s="28">
        <f>SUM(Table3[[#This Row],[ARPA Units Completed]])/(Table3[[#This Row],[ARPA Units Required]])</f>
        <v>0.7</v>
      </c>
      <c r="AA7" s="34">
        <f t="shared" si="8"/>
        <v>4693.3100000000004</v>
      </c>
      <c r="AD7" s="66">
        <v>4</v>
      </c>
      <c r="AE7" s="39">
        <f t="shared" si="9"/>
        <v>346354.18</v>
      </c>
      <c r="AF7" s="39">
        <f t="shared" si="9"/>
        <v>119759.22</v>
      </c>
      <c r="AG7" s="39">
        <f t="shared" si="9"/>
        <v>226594.96000000002</v>
      </c>
      <c r="AH7" s="40">
        <f t="shared" si="10"/>
        <v>0.65422903225825091</v>
      </c>
      <c r="AI7" s="41">
        <f t="shared" si="11"/>
        <v>41</v>
      </c>
      <c r="AJ7" s="41">
        <f t="shared" si="11"/>
        <v>44</v>
      </c>
      <c r="AK7" s="40">
        <f t="shared" si="12"/>
        <v>1.0731707317073171</v>
      </c>
    </row>
    <row r="8" spans="1:37" ht="19.5" customHeight="1" x14ac:dyDescent="0.35">
      <c r="A8" s="67">
        <v>5</v>
      </c>
      <c r="B8" s="45">
        <f>SUM(50870.02)+J8</f>
        <v>139870.01999999999</v>
      </c>
      <c r="C8" s="45">
        <v>42854.6</v>
      </c>
      <c r="D8" s="11">
        <f t="shared" si="0"/>
        <v>97015.419999999984</v>
      </c>
      <c r="E8" s="26">
        <f t="shared" si="1"/>
        <v>0.69361125422016801</v>
      </c>
      <c r="F8" s="27">
        <v>16</v>
      </c>
      <c r="G8" s="27">
        <v>19</v>
      </c>
      <c r="H8" s="28">
        <f>SUM(Table3[[#This Row],[DOE Units Completed]]/Table3[[#This Row],[DOE Units Required ]])</f>
        <v>1.1875</v>
      </c>
      <c r="I8" s="29">
        <f t="shared" si="2"/>
        <v>5106.0747368421044</v>
      </c>
      <c r="J8" s="30">
        <v>89000</v>
      </c>
      <c r="K8" s="31">
        <v>138458.97</v>
      </c>
      <c r="L8" s="31">
        <v>87594.62</v>
      </c>
      <c r="M8" s="25">
        <f t="shared" si="3"/>
        <v>50864.350000000006</v>
      </c>
      <c r="N8" s="32">
        <f t="shared" si="4"/>
        <v>0.36736045342529999</v>
      </c>
      <c r="O8" s="27">
        <v>18</v>
      </c>
      <c r="P8" s="27">
        <v>7</v>
      </c>
      <c r="Q8" s="28">
        <f>SUM(Table3[[#This Row],[HHS Units Completed ]]/Table3[[#This Row],[HHS Units Required]])</f>
        <v>0.3888888888888889</v>
      </c>
      <c r="R8" s="29">
        <f t="shared" si="5"/>
        <v>7266.3357142857149</v>
      </c>
      <c r="S8" s="46"/>
      <c r="T8" s="25">
        <v>80803.34</v>
      </c>
      <c r="U8" s="25">
        <v>41323.79</v>
      </c>
      <c r="V8" s="25">
        <f t="shared" si="6"/>
        <v>39479.549999999996</v>
      </c>
      <c r="W8" s="28">
        <f t="shared" si="7"/>
        <v>0.48858809549209226</v>
      </c>
      <c r="X8" s="27">
        <v>10</v>
      </c>
      <c r="Y8" s="27">
        <v>5</v>
      </c>
      <c r="Z8" s="28">
        <f>SUM(Table3[[#This Row],[ARPA Units Completed]])/(Table3[[#This Row],[ARPA Units Required]])</f>
        <v>0.5</v>
      </c>
      <c r="AA8" s="34">
        <f t="shared" si="8"/>
        <v>7895.9099999999989</v>
      </c>
      <c r="AD8" s="66">
        <v>5</v>
      </c>
      <c r="AE8" s="42">
        <f t="shared" si="9"/>
        <v>359132.32999999996</v>
      </c>
      <c r="AF8" s="42">
        <f t="shared" si="9"/>
        <v>171773.01</v>
      </c>
      <c r="AG8" s="42">
        <f t="shared" si="9"/>
        <v>187359.31999999998</v>
      </c>
      <c r="AH8" s="43">
        <f t="shared" si="10"/>
        <v>0.5216999538860787</v>
      </c>
      <c r="AI8" s="44">
        <f t="shared" si="11"/>
        <v>44</v>
      </c>
      <c r="AJ8" s="44">
        <f t="shared" si="11"/>
        <v>31</v>
      </c>
      <c r="AK8" s="43">
        <f t="shared" si="12"/>
        <v>0.70454545454545459</v>
      </c>
    </row>
    <row r="9" spans="1:37" ht="19.5" customHeight="1" x14ac:dyDescent="0.35">
      <c r="A9" s="67">
        <v>6</v>
      </c>
      <c r="B9" s="45">
        <v>174953.2</v>
      </c>
      <c r="C9" s="45">
        <v>35024.629999999997</v>
      </c>
      <c r="D9" s="11">
        <f t="shared" si="0"/>
        <v>139928.57</v>
      </c>
      <c r="E9" s="26">
        <f t="shared" si="1"/>
        <v>0.79980571947240742</v>
      </c>
      <c r="F9" s="27">
        <v>20</v>
      </c>
      <c r="G9" s="27">
        <v>21</v>
      </c>
      <c r="H9" s="28">
        <f>SUM(Table3[[#This Row],[DOE Units Completed]]/Table3[[#This Row],[DOE Units Required ]])</f>
        <v>1.05</v>
      </c>
      <c r="I9" s="29">
        <f t="shared" si="2"/>
        <v>6663.2652380952386</v>
      </c>
      <c r="J9" s="30"/>
      <c r="K9" s="31">
        <v>174285.99</v>
      </c>
      <c r="L9" s="31">
        <v>97869.31</v>
      </c>
      <c r="M9" s="25">
        <f t="shared" si="3"/>
        <v>76416.679999999993</v>
      </c>
      <c r="N9" s="32">
        <f t="shared" si="4"/>
        <v>0.43845566703324806</v>
      </c>
      <c r="O9" s="27">
        <v>22</v>
      </c>
      <c r="P9" s="27">
        <v>12</v>
      </c>
      <c r="Q9" s="28">
        <f>SUM(Table3[[#This Row],[HHS Units Completed ]]/Table3[[#This Row],[HHS Units Required]])</f>
        <v>0.54545454545454541</v>
      </c>
      <c r="R9" s="29">
        <f t="shared" si="5"/>
        <v>6368.0566666666664</v>
      </c>
      <c r="S9" s="38"/>
      <c r="T9" s="25">
        <v>101711.64</v>
      </c>
      <c r="U9" s="25">
        <v>58391.58</v>
      </c>
      <c r="V9" s="25">
        <f t="shared" si="6"/>
        <v>43320.06</v>
      </c>
      <c r="W9" s="28">
        <f t="shared" si="7"/>
        <v>0.42591054475181012</v>
      </c>
      <c r="X9" s="27">
        <v>13</v>
      </c>
      <c r="Y9" s="27">
        <v>8</v>
      </c>
      <c r="Z9" s="28">
        <f>SUM(Table3[[#This Row],[ARPA Units Completed]])/(Table3[[#This Row],[ARPA Units Required]])</f>
        <v>0.61538461538461542</v>
      </c>
      <c r="AA9" s="34">
        <f t="shared" si="8"/>
        <v>5415.0074999999997</v>
      </c>
      <c r="AD9" s="66">
        <v>6</v>
      </c>
      <c r="AE9" s="39">
        <f t="shared" si="9"/>
        <v>450950.83</v>
      </c>
      <c r="AF9" s="39">
        <f t="shared" si="9"/>
        <v>191285.52000000002</v>
      </c>
      <c r="AG9" s="39">
        <f t="shared" si="9"/>
        <v>259665.31</v>
      </c>
      <c r="AH9" s="40">
        <f t="shared" si="10"/>
        <v>0.57581734576250809</v>
      </c>
      <c r="AI9" s="41">
        <f t="shared" si="11"/>
        <v>55</v>
      </c>
      <c r="AJ9" s="41">
        <f t="shared" si="11"/>
        <v>41</v>
      </c>
      <c r="AK9" s="40">
        <f t="shared" si="12"/>
        <v>0.74545454545454548</v>
      </c>
    </row>
    <row r="10" spans="1:37" ht="19.5" customHeight="1" x14ac:dyDescent="0.35">
      <c r="A10" s="67">
        <v>7</v>
      </c>
      <c r="B10" s="25">
        <f>SUM(282737.75)+J10</f>
        <v>332737.75</v>
      </c>
      <c r="C10" s="25">
        <v>55331.71</v>
      </c>
      <c r="D10" s="11">
        <f t="shared" si="0"/>
        <v>277406.03999999998</v>
      </c>
      <c r="E10" s="26">
        <f t="shared" si="1"/>
        <v>0.83370774731751951</v>
      </c>
      <c r="F10" s="27">
        <v>37</v>
      </c>
      <c r="G10" s="27">
        <v>53</v>
      </c>
      <c r="H10" s="28">
        <f>SUM(Table3[[#This Row],[DOE Units Completed]]/Table3[[#This Row],[DOE Units Required ]])</f>
        <v>1.4324324324324325</v>
      </c>
      <c r="I10" s="29">
        <f t="shared" si="2"/>
        <v>5234.0762264150935</v>
      </c>
      <c r="J10" s="30">
        <v>50000</v>
      </c>
      <c r="K10" s="31">
        <v>284355.84999999998</v>
      </c>
      <c r="L10" s="31">
        <v>170421.02</v>
      </c>
      <c r="M10" s="25">
        <f t="shared" si="3"/>
        <v>113934.82999999999</v>
      </c>
      <c r="N10" s="32">
        <f t="shared" si="4"/>
        <v>0.40067693349723593</v>
      </c>
      <c r="O10" s="27">
        <v>36</v>
      </c>
      <c r="P10" s="27">
        <v>23</v>
      </c>
      <c r="Q10" s="28">
        <f>SUM(Table3[[#This Row],[HHS Units Completed ]]/Table3[[#This Row],[HHS Units Required]])</f>
        <v>0.63888888888888884</v>
      </c>
      <c r="R10" s="29">
        <f t="shared" si="5"/>
        <v>4953.6882608695651</v>
      </c>
      <c r="S10" s="38"/>
      <c r="T10" s="25">
        <v>165947.35999999999</v>
      </c>
      <c r="U10" s="25">
        <v>94630.46</v>
      </c>
      <c r="V10" s="25">
        <f t="shared" si="6"/>
        <v>71316.89999999998</v>
      </c>
      <c r="W10" s="28">
        <f t="shared" si="7"/>
        <v>0.42975615882048374</v>
      </c>
      <c r="X10" s="27">
        <v>21</v>
      </c>
      <c r="Y10" s="27">
        <v>15</v>
      </c>
      <c r="Z10" s="28">
        <f>SUM(Table3[[#This Row],[ARPA Units Completed]])/(Table3[[#This Row],[ARPA Units Required]])</f>
        <v>0.7142857142857143</v>
      </c>
      <c r="AA10" s="34">
        <f t="shared" si="8"/>
        <v>4754.4599999999982</v>
      </c>
      <c r="AD10" s="66">
        <v>7</v>
      </c>
      <c r="AE10" s="42">
        <f t="shared" si="9"/>
        <v>783040.96</v>
      </c>
      <c r="AF10" s="42">
        <f t="shared" si="9"/>
        <v>320383.19</v>
      </c>
      <c r="AG10" s="42">
        <f t="shared" si="9"/>
        <v>462657.76999999996</v>
      </c>
      <c r="AH10" s="43">
        <f t="shared" si="10"/>
        <v>0.59084746984372305</v>
      </c>
      <c r="AI10" s="44">
        <f t="shared" si="11"/>
        <v>94</v>
      </c>
      <c r="AJ10" s="44">
        <f t="shared" si="11"/>
        <v>91</v>
      </c>
      <c r="AK10" s="43">
        <f t="shared" si="12"/>
        <v>0.96808510638297873</v>
      </c>
    </row>
    <row r="11" spans="1:37" ht="19.5" customHeight="1" x14ac:dyDescent="0.35">
      <c r="A11" s="67">
        <v>8</v>
      </c>
      <c r="B11" s="25">
        <v>219996.92</v>
      </c>
      <c r="C11" s="25">
        <v>83817.42</v>
      </c>
      <c r="D11" s="11">
        <f t="shared" si="0"/>
        <v>136179.5</v>
      </c>
      <c r="E11" s="26">
        <f t="shared" si="1"/>
        <v>0.61900639336223429</v>
      </c>
      <c r="F11" s="27">
        <v>31</v>
      </c>
      <c r="G11" s="27">
        <v>16</v>
      </c>
      <c r="H11" s="28">
        <f>SUM(Table3[[#This Row],[DOE Units Completed]]/Table3[[#This Row],[DOE Units Required ]])</f>
        <v>0.5161290322580645</v>
      </c>
      <c r="I11" s="29">
        <f t="shared" si="2"/>
        <v>8511.21875</v>
      </c>
      <c r="J11" s="30">
        <v>-145863.20000000001</v>
      </c>
      <c r="K11" s="31">
        <v>369240.6</v>
      </c>
      <c r="L11" s="31">
        <v>318132.33</v>
      </c>
      <c r="M11" s="25">
        <f t="shared" si="3"/>
        <v>51108.26999999996</v>
      </c>
      <c r="N11" s="32">
        <f t="shared" si="4"/>
        <v>0.13841454596271363</v>
      </c>
      <c r="O11" s="27">
        <v>46</v>
      </c>
      <c r="P11" s="27">
        <v>8</v>
      </c>
      <c r="Q11" s="28">
        <f>SUM(Table3[[#This Row],[HHS Units Completed ]]/Table3[[#This Row],[HHS Units Required]])</f>
        <v>0.17391304347826086</v>
      </c>
      <c r="R11" s="29">
        <f t="shared" si="5"/>
        <v>6388.5337499999951</v>
      </c>
      <c r="S11" s="33"/>
      <c r="T11" s="25">
        <v>215485.29</v>
      </c>
      <c r="U11" s="25">
        <v>173733.35</v>
      </c>
      <c r="V11" s="25">
        <f t="shared" si="6"/>
        <v>41751.94</v>
      </c>
      <c r="W11" s="28">
        <f t="shared" si="7"/>
        <v>0.19375772703556701</v>
      </c>
      <c r="X11" s="27">
        <v>27</v>
      </c>
      <c r="Y11" s="27">
        <v>4</v>
      </c>
      <c r="Z11" s="28">
        <f>SUM(Table3[[#This Row],[ARPA Units Completed]])/(Table3[[#This Row],[ARPA Units Required]])</f>
        <v>0.14814814814814814</v>
      </c>
      <c r="AA11" s="34">
        <f t="shared" si="8"/>
        <v>10437.985000000001</v>
      </c>
      <c r="AD11" s="66">
        <v>8</v>
      </c>
      <c r="AE11" s="39">
        <f t="shared" si="9"/>
        <v>804722.81</v>
      </c>
      <c r="AF11" s="39">
        <f t="shared" si="9"/>
        <v>575683.1</v>
      </c>
      <c r="AG11" s="39">
        <f t="shared" si="9"/>
        <v>229039.70999999996</v>
      </c>
      <c r="AH11" s="40">
        <f t="shared" si="10"/>
        <v>0.28461938341228321</v>
      </c>
      <c r="AI11" s="41">
        <f t="shared" si="11"/>
        <v>104</v>
      </c>
      <c r="AJ11" s="41">
        <f t="shared" si="11"/>
        <v>28</v>
      </c>
      <c r="AK11" s="40">
        <f t="shared" si="12"/>
        <v>0.26923076923076922</v>
      </c>
    </row>
    <row r="12" spans="1:37" ht="20.149999999999999" customHeight="1" x14ac:dyDescent="0.35">
      <c r="A12" s="67">
        <v>9</v>
      </c>
      <c r="B12" s="25">
        <f>SUM(217803.93)+J12</f>
        <v>352569.08999999997</v>
      </c>
      <c r="C12" s="25">
        <v>116229.13</v>
      </c>
      <c r="D12" s="11">
        <f t="shared" si="0"/>
        <v>236339.95999999996</v>
      </c>
      <c r="E12" s="26">
        <f t="shared" si="1"/>
        <v>0.67033658566041621</v>
      </c>
      <c r="F12" s="27">
        <v>47</v>
      </c>
      <c r="G12" s="27">
        <v>43</v>
      </c>
      <c r="H12" s="28">
        <f>SUM(Table3[[#This Row],[DOE Units Completed]]/Table3[[#This Row],[DOE Units Required ]])</f>
        <v>0.91489361702127658</v>
      </c>
      <c r="I12" s="29">
        <f t="shared" si="2"/>
        <v>5496.2781395348829</v>
      </c>
      <c r="J12" s="30">
        <v>134765.16</v>
      </c>
      <c r="K12" s="31">
        <v>218045.25</v>
      </c>
      <c r="L12" s="31">
        <v>113379.91</v>
      </c>
      <c r="M12" s="25">
        <f t="shared" si="3"/>
        <v>104665.34</v>
      </c>
      <c r="N12" s="32">
        <f t="shared" si="4"/>
        <v>0.48001660205851765</v>
      </c>
      <c r="O12" s="27">
        <v>27</v>
      </c>
      <c r="P12" s="27">
        <v>16</v>
      </c>
      <c r="Q12" s="28">
        <f>SUM(Table3[[#This Row],[HHS Units Completed ]]/Table3[[#This Row],[HHS Units Required]])</f>
        <v>0.59259259259259256</v>
      </c>
      <c r="R12" s="29">
        <f t="shared" si="5"/>
        <v>6541.5837499999998</v>
      </c>
      <c r="S12" s="38"/>
      <c r="T12" s="25">
        <v>127249.13</v>
      </c>
      <c r="U12" s="25">
        <v>52495.61</v>
      </c>
      <c r="V12" s="25">
        <f t="shared" si="6"/>
        <v>74753.52</v>
      </c>
      <c r="W12" s="28">
        <f t="shared" si="7"/>
        <v>0.58745800462447173</v>
      </c>
      <c r="X12" s="27">
        <v>16</v>
      </c>
      <c r="Y12" s="27">
        <v>15</v>
      </c>
      <c r="Z12" s="28">
        <f>SUM(Table3[[#This Row],[ARPA Units Completed]])/(Table3[[#This Row],[ARPA Units Required]])</f>
        <v>0.9375</v>
      </c>
      <c r="AA12" s="34">
        <f t="shared" si="8"/>
        <v>4983.5680000000002</v>
      </c>
      <c r="AD12" s="66">
        <v>9</v>
      </c>
      <c r="AE12" s="42">
        <f t="shared" si="9"/>
        <v>697863.47</v>
      </c>
      <c r="AF12" s="42">
        <f t="shared" si="9"/>
        <v>282104.65000000002</v>
      </c>
      <c r="AG12" s="42">
        <f t="shared" si="9"/>
        <v>415758.81999999995</v>
      </c>
      <c r="AH12" s="43">
        <f t="shared" si="10"/>
        <v>0.59575954018627741</v>
      </c>
      <c r="AI12" s="44">
        <f t="shared" si="11"/>
        <v>90</v>
      </c>
      <c r="AJ12" s="44">
        <f t="shared" si="11"/>
        <v>74</v>
      </c>
      <c r="AK12" s="43">
        <f t="shared" si="12"/>
        <v>0.82222222222222219</v>
      </c>
    </row>
    <row r="13" spans="1:37" ht="20.149999999999999" customHeight="1" x14ac:dyDescent="0.35">
      <c r="A13" s="67">
        <v>10</v>
      </c>
      <c r="B13" s="25">
        <v>221953.81</v>
      </c>
      <c r="C13" s="25">
        <v>47564.41</v>
      </c>
      <c r="D13" s="11">
        <f t="shared" si="0"/>
        <v>174389.4</v>
      </c>
      <c r="E13" s="26">
        <f t="shared" si="1"/>
        <v>0.78570131325972736</v>
      </c>
      <c r="F13" s="27">
        <v>24</v>
      </c>
      <c r="G13" s="27">
        <v>16</v>
      </c>
      <c r="H13" s="28">
        <f>SUM(Table3[[#This Row],[DOE Units Completed]]/Table3[[#This Row],[DOE Units Required ]])</f>
        <v>0.66666666666666663</v>
      </c>
      <c r="I13" s="29">
        <f t="shared" si="2"/>
        <v>10899.3375</v>
      </c>
      <c r="J13" s="30"/>
      <c r="K13" s="31">
        <v>222283.1</v>
      </c>
      <c r="L13" s="31">
        <v>165532.35</v>
      </c>
      <c r="M13" s="25">
        <f t="shared" si="3"/>
        <v>56750.75</v>
      </c>
      <c r="N13" s="32">
        <f t="shared" si="4"/>
        <v>0.25530843325470987</v>
      </c>
      <c r="O13" s="27">
        <v>28</v>
      </c>
      <c r="P13" s="27">
        <v>7</v>
      </c>
      <c r="Q13" s="28">
        <f>SUM(Table3[[#This Row],[HHS Units Completed ]]/Table3[[#This Row],[HHS Units Required]])</f>
        <v>0.25</v>
      </c>
      <c r="R13" s="29">
        <f t="shared" si="5"/>
        <v>8107.25</v>
      </c>
      <c r="S13" s="38"/>
      <c r="T13" s="25">
        <v>129722.29</v>
      </c>
      <c r="U13" s="25">
        <v>129722.29</v>
      </c>
      <c r="V13" s="25">
        <f t="shared" si="6"/>
        <v>0</v>
      </c>
      <c r="W13" s="28">
        <f t="shared" si="7"/>
        <v>0</v>
      </c>
      <c r="X13" s="27">
        <v>17</v>
      </c>
      <c r="Y13" s="27">
        <v>0</v>
      </c>
      <c r="Z13" s="28">
        <f>SUM(Table3[[#This Row],[ARPA Units Completed]])/(Table3[[#This Row],[ARPA Units Required]])</f>
        <v>0</v>
      </c>
      <c r="AA13" s="34" t="e">
        <f t="shared" si="8"/>
        <v>#DIV/0!</v>
      </c>
      <c r="AD13" s="66">
        <v>10</v>
      </c>
      <c r="AE13" s="39">
        <f t="shared" si="9"/>
        <v>573959.20000000007</v>
      </c>
      <c r="AF13" s="39">
        <f t="shared" si="9"/>
        <v>342819.05</v>
      </c>
      <c r="AG13" s="39">
        <f t="shared" si="9"/>
        <v>231140.15</v>
      </c>
      <c r="AH13" s="40">
        <f t="shared" si="10"/>
        <v>0.40271181296510267</v>
      </c>
      <c r="AI13" s="41">
        <f t="shared" si="11"/>
        <v>69</v>
      </c>
      <c r="AJ13" s="41">
        <f t="shared" si="11"/>
        <v>23</v>
      </c>
      <c r="AK13" s="40">
        <f t="shared" si="12"/>
        <v>0.33333333333333331</v>
      </c>
    </row>
    <row r="14" spans="1:37" ht="20.149999999999999" customHeight="1" x14ac:dyDescent="0.35">
      <c r="A14" s="67">
        <v>11</v>
      </c>
      <c r="B14" s="25">
        <v>102630.05</v>
      </c>
      <c r="C14" s="25">
        <v>13283.48</v>
      </c>
      <c r="D14" s="11">
        <f t="shared" si="0"/>
        <v>89346.57</v>
      </c>
      <c r="E14" s="26">
        <f t="shared" si="1"/>
        <v>0.87056929232714986</v>
      </c>
      <c r="F14" s="27">
        <v>12</v>
      </c>
      <c r="G14" s="27">
        <v>34</v>
      </c>
      <c r="H14" s="28">
        <f>SUM(Table3[[#This Row],[DOE Units Completed]]/Table3[[#This Row],[DOE Units Required ]])</f>
        <v>2.8333333333333335</v>
      </c>
      <c r="I14" s="29">
        <f t="shared" si="2"/>
        <v>2627.8402941176473</v>
      </c>
      <c r="J14" s="30">
        <v>50000</v>
      </c>
      <c r="K14" s="31">
        <v>100429.39</v>
      </c>
      <c r="L14" s="31">
        <v>56214.2</v>
      </c>
      <c r="M14" s="25">
        <f t="shared" si="3"/>
        <v>44215.19</v>
      </c>
      <c r="N14" s="32">
        <f t="shared" si="4"/>
        <v>0.44026146131127553</v>
      </c>
      <c r="O14" s="27">
        <v>13</v>
      </c>
      <c r="P14" s="27">
        <v>6</v>
      </c>
      <c r="Q14" s="28">
        <f>SUM(Table3[[#This Row],[HHS Units Completed ]]/Table3[[#This Row],[HHS Units Required]])</f>
        <v>0.46153846153846156</v>
      </c>
      <c r="R14" s="29">
        <f t="shared" si="5"/>
        <v>7369.1983333333337</v>
      </c>
      <c r="S14" s="38"/>
      <c r="T14" s="25">
        <v>58609.64</v>
      </c>
      <c r="U14" s="25">
        <v>53709.64</v>
      </c>
      <c r="V14" s="25">
        <f t="shared" si="6"/>
        <v>4900</v>
      </c>
      <c r="W14" s="28">
        <f t="shared" si="7"/>
        <v>8.3603994155227707E-2</v>
      </c>
      <c r="X14" s="27">
        <v>8</v>
      </c>
      <c r="Y14" s="27">
        <v>1</v>
      </c>
      <c r="Z14" s="28">
        <f>SUM(Table3[[#This Row],[ARPA Units Completed]])/(Table3[[#This Row],[ARPA Units Required]])</f>
        <v>0.125</v>
      </c>
      <c r="AA14" s="34">
        <f t="shared" si="8"/>
        <v>4900</v>
      </c>
      <c r="AD14" s="66">
        <v>11</v>
      </c>
      <c r="AE14" s="42">
        <f t="shared" si="9"/>
        <v>261669.08000000002</v>
      </c>
      <c r="AF14" s="42">
        <f t="shared" si="9"/>
        <v>123207.31999999999</v>
      </c>
      <c r="AG14" s="42">
        <f t="shared" si="9"/>
        <v>138461.76000000001</v>
      </c>
      <c r="AH14" s="43">
        <f t="shared" si="10"/>
        <v>0.52914834263184629</v>
      </c>
      <c r="AI14" s="44">
        <f t="shared" si="11"/>
        <v>33</v>
      </c>
      <c r="AJ14" s="44">
        <f t="shared" si="11"/>
        <v>41</v>
      </c>
      <c r="AK14" s="43">
        <f t="shared" si="12"/>
        <v>1.2424242424242424</v>
      </c>
    </row>
    <row r="15" spans="1:37" ht="20.149999999999999" customHeight="1" x14ac:dyDescent="0.35">
      <c r="A15" s="67">
        <v>12</v>
      </c>
      <c r="B15" s="25">
        <f>SUM(302741.03)+J15</f>
        <v>402741.03</v>
      </c>
      <c r="C15" s="25">
        <v>124518.04</v>
      </c>
      <c r="D15" s="11">
        <f t="shared" si="0"/>
        <v>278222.99000000005</v>
      </c>
      <c r="E15" s="26">
        <f t="shared" si="1"/>
        <v>0.69082355477910962</v>
      </c>
      <c r="F15" s="27">
        <v>46</v>
      </c>
      <c r="G15" s="27">
        <v>47</v>
      </c>
      <c r="H15" s="28">
        <f>SUM(Table3[[#This Row],[DOE Units Completed]]/Table3[[#This Row],[DOE Units Required ]])</f>
        <v>1.0217391304347827</v>
      </c>
      <c r="I15" s="29">
        <f t="shared" si="2"/>
        <v>5919.6380851063841</v>
      </c>
      <c r="J15" s="30">
        <v>100000</v>
      </c>
      <c r="K15" s="31">
        <v>304783.2</v>
      </c>
      <c r="L15" s="31">
        <v>138565.54999999999</v>
      </c>
      <c r="M15" s="25">
        <f t="shared" si="3"/>
        <v>166217.65000000002</v>
      </c>
      <c r="N15" s="32">
        <f t="shared" si="4"/>
        <v>0.54536355678396975</v>
      </c>
      <c r="O15" s="27">
        <v>38</v>
      </c>
      <c r="P15" s="27">
        <v>22</v>
      </c>
      <c r="Q15" s="28">
        <f>SUM(Table3[[#This Row],[HHS Units Completed ]]/Table3[[#This Row],[HHS Units Required]])</f>
        <v>0.57894736842105265</v>
      </c>
      <c r="R15" s="29">
        <f t="shared" si="5"/>
        <v>7555.3477272727287</v>
      </c>
      <c r="S15" s="38"/>
      <c r="T15" s="25">
        <v>177868.57</v>
      </c>
      <c r="U15" s="25">
        <v>115554.48</v>
      </c>
      <c r="V15" s="25">
        <f t="shared" si="6"/>
        <v>62314.090000000011</v>
      </c>
      <c r="W15" s="28">
        <f t="shared" si="7"/>
        <v>0.35033783652727407</v>
      </c>
      <c r="X15" s="27">
        <v>22</v>
      </c>
      <c r="Y15" s="27">
        <v>11</v>
      </c>
      <c r="Z15" s="28">
        <f>SUM(Table3[[#This Row],[ARPA Units Completed]])/(Table3[[#This Row],[ARPA Units Required]])</f>
        <v>0.5</v>
      </c>
      <c r="AA15" s="34">
        <f t="shared" si="8"/>
        <v>5664.9172727272735</v>
      </c>
      <c r="AD15" s="66">
        <v>12</v>
      </c>
      <c r="AE15" s="39">
        <f t="shared" si="9"/>
        <v>885392.8</v>
      </c>
      <c r="AF15" s="39">
        <f t="shared" si="9"/>
        <v>378638.06999999995</v>
      </c>
      <c r="AG15" s="39">
        <f t="shared" si="9"/>
        <v>506754.7300000001</v>
      </c>
      <c r="AH15" s="40">
        <f t="shared" si="10"/>
        <v>0.57235018174984043</v>
      </c>
      <c r="AI15" s="41">
        <f t="shared" si="11"/>
        <v>106</v>
      </c>
      <c r="AJ15" s="41">
        <f t="shared" si="11"/>
        <v>80</v>
      </c>
      <c r="AK15" s="40">
        <f t="shared" si="12"/>
        <v>0.75471698113207553</v>
      </c>
    </row>
    <row r="16" spans="1:37" ht="20.149999999999999" customHeight="1" x14ac:dyDescent="0.35">
      <c r="A16" s="67">
        <v>13</v>
      </c>
      <c r="B16" s="25">
        <f>SUM(629415.91)+J16</f>
        <v>729415.91</v>
      </c>
      <c r="C16" s="25">
        <v>200706.54</v>
      </c>
      <c r="D16" s="11">
        <f t="shared" si="0"/>
        <v>528709.37</v>
      </c>
      <c r="E16" s="26">
        <f t="shared" si="1"/>
        <v>0.72483937182011837</v>
      </c>
      <c r="F16" s="27">
        <v>72</v>
      </c>
      <c r="G16" s="27">
        <v>75</v>
      </c>
      <c r="H16" s="28">
        <f>SUM(Table3[[#This Row],[DOE Units Completed]]/Table3[[#This Row],[DOE Units Required ]])</f>
        <v>1.0416666666666667</v>
      </c>
      <c r="I16" s="29">
        <f t="shared" si="2"/>
        <v>7049.4582666666665</v>
      </c>
      <c r="J16" s="30">
        <v>100000</v>
      </c>
      <c r="K16" s="31">
        <v>638384.42000000004</v>
      </c>
      <c r="L16" s="31">
        <v>434585.31</v>
      </c>
      <c r="M16" s="25">
        <f t="shared" si="3"/>
        <v>203799.11000000004</v>
      </c>
      <c r="N16" s="32">
        <f t="shared" si="4"/>
        <v>0.31924198588681102</v>
      </c>
      <c r="O16" s="27">
        <v>79</v>
      </c>
      <c r="P16" s="27">
        <v>30</v>
      </c>
      <c r="Q16" s="28">
        <f>SUM(Table3[[#This Row],[HHS Units Completed ]]/Table3[[#This Row],[HHS Units Required]])</f>
        <v>0.379746835443038</v>
      </c>
      <c r="R16" s="29">
        <f t="shared" si="5"/>
        <v>6793.3036666666685</v>
      </c>
      <c r="S16" s="38"/>
      <c r="T16" s="25">
        <v>372555.05</v>
      </c>
      <c r="U16" s="25">
        <v>309265.71000000002</v>
      </c>
      <c r="V16" s="25">
        <f t="shared" si="6"/>
        <v>63289.339999999967</v>
      </c>
      <c r="W16" s="28">
        <f t="shared" si="7"/>
        <v>0.16987916282439325</v>
      </c>
      <c r="X16" s="27">
        <v>47</v>
      </c>
      <c r="Y16" s="27">
        <v>15</v>
      </c>
      <c r="Z16" s="28">
        <f>SUM(Table3[[#This Row],[ARPA Units Completed]])/(Table3[[#This Row],[ARPA Units Required]])</f>
        <v>0.31914893617021278</v>
      </c>
      <c r="AA16" s="34">
        <f t="shared" si="8"/>
        <v>4219.2893333333313</v>
      </c>
      <c r="AD16" s="66">
        <v>13</v>
      </c>
      <c r="AE16" s="42">
        <f t="shared" si="9"/>
        <v>1740355.3800000001</v>
      </c>
      <c r="AF16" s="42">
        <f t="shared" si="9"/>
        <v>944557.56</v>
      </c>
      <c r="AG16" s="42">
        <f t="shared" si="9"/>
        <v>795797.82</v>
      </c>
      <c r="AH16" s="43">
        <f t="shared" si="10"/>
        <v>0.45726167720985805</v>
      </c>
      <c r="AI16" s="44">
        <f t="shared" si="11"/>
        <v>198</v>
      </c>
      <c r="AJ16" s="44">
        <f t="shared" si="11"/>
        <v>120</v>
      </c>
      <c r="AK16" s="43">
        <f t="shared" si="12"/>
        <v>0.60606060606060608</v>
      </c>
    </row>
    <row r="17" spans="1:37" s="47" customFormat="1" ht="21.75" customHeight="1" x14ac:dyDescent="0.35">
      <c r="A17" s="67">
        <v>14</v>
      </c>
      <c r="B17" s="25">
        <v>129364.92</v>
      </c>
      <c r="C17" s="25">
        <v>34167.839999999997</v>
      </c>
      <c r="D17" s="11">
        <f t="shared" si="0"/>
        <v>95197.08</v>
      </c>
      <c r="E17" s="26">
        <f t="shared" si="1"/>
        <v>0.73588017524379867</v>
      </c>
      <c r="F17" s="27">
        <v>16</v>
      </c>
      <c r="G17" s="27">
        <v>14</v>
      </c>
      <c r="H17" s="28">
        <f>SUM(Table3[[#This Row],[DOE Units Completed]]/Table3[[#This Row],[DOE Units Required ]])</f>
        <v>0.875</v>
      </c>
      <c r="I17" s="29">
        <f t="shared" si="2"/>
        <v>6799.7914285714287</v>
      </c>
      <c r="J17" s="30"/>
      <c r="K17" s="31">
        <v>127731.08</v>
      </c>
      <c r="L17" s="31">
        <v>99073.25</v>
      </c>
      <c r="M17" s="25">
        <f t="shared" si="3"/>
        <v>28657.83</v>
      </c>
      <c r="N17" s="32">
        <f t="shared" si="4"/>
        <v>0.22436066460880155</v>
      </c>
      <c r="O17" s="27">
        <v>16</v>
      </c>
      <c r="P17" s="27">
        <v>5</v>
      </c>
      <c r="Q17" s="28">
        <f>SUM(Table3[[#This Row],[HHS Units Completed ]]/Table3[[#This Row],[HHS Units Required]])</f>
        <v>0.3125</v>
      </c>
      <c r="R17" s="29">
        <f t="shared" si="5"/>
        <v>5731.5660000000007</v>
      </c>
      <c r="S17" s="38"/>
      <c r="T17" s="25">
        <v>74542.62</v>
      </c>
      <c r="U17" s="25">
        <v>52244.5</v>
      </c>
      <c r="V17" s="25">
        <f t="shared" si="6"/>
        <v>22298.119999999995</v>
      </c>
      <c r="W17" s="28">
        <f t="shared" si="7"/>
        <v>0.29913249628199273</v>
      </c>
      <c r="X17" s="27">
        <v>10</v>
      </c>
      <c r="Y17" s="27">
        <v>5</v>
      </c>
      <c r="Z17" s="28">
        <f>SUM(Table3[[#This Row],[ARPA Units Completed]])/(Table3[[#This Row],[ARPA Units Required]])</f>
        <v>0.5</v>
      </c>
      <c r="AA17" s="34">
        <f t="shared" si="8"/>
        <v>4459.6239999999989</v>
      </c>
      <c r="AB17" s="8"/>
      <c r="AD17" s="67">
        <v>14</v>
      </c>
      <c r="AE17" s="39">
        <f t="shared" si="9"/>
        <v>331638.62</v>
      </c>
      <c r="AF17" s="39">
        <f t="shared" si="9"/>
        <v>185485.59</v>
      </c>
      <c r="AG17" s="39">
        <f t="shared" si="9"/>
        <v>146153.03</v>
      </c>
      <c r="AH17" s="40">
        <f t="shared" si="10"/>
        <v>0.44069966881420508</v>
      </c>
      <c r="AI17" s="41">
        <f t="shared" si="11"/>
        <v>42</v>
      </c>
      <c r="AJ17" s="41">
        <f t="shared" si="11"/>
        <v>24</v>
      </c>
      <c r="AK17" s="40">
        <f t="shared" si="12"/>
        <v>0.5714285714285714</v>
      </c>
    </row>
    <row r="18" spans="1:37" s="47" customFormat="1" ht="25.4" customHeight="1" x14ac:dyDescent="0.35">
      <c r="A18" s="48" t="s">
        <v>39</v>
      </c>
      <c r="B18" s="34">
        <f>SUBTOTAL(109,Table3[DOE 
2021-22])</f>
        <v>4373929.0999999996</v>
      </c>
      <c r="C18" s="34">
        <f>SUBTOTAL(109,Table3[DOE 
Balance])</f>
        <v>1124188.0400000003</v>
      </c>
      <c r="D18" s="34">
        <f>SUBTOTAL(109,Table3[DOE
Spent])</f>
        <v>3249741.06</v>
      </c>
      <c r="E18" s="32">
        <f t="shared" si="1"/>
        <v>0.74297982104922555</v>
      </c>
      <c r="F18" s="27">
        <f>SUBTOTAL(109,Table3[[DOE Units Required ]])</f>
        <v>495</v>
      </c>
      <c r="G18" s="27">
        <f>SUBTOTAL(109,Table3[DOE Units Completed])</f>
        <v>565</v>
      </c>
      <c r="H18" s="32">
        <f>SUM(G18/F18)</f>
        <v>1.1414141414141414</v>
      </c>
      <c r="I18" s="34">
        <f>SUM(D18/G18)</f>
        <v>5751.7540884955752</v>
      </c>
      <c r="J18" s="34">
        <f>SUBTOTAL(109,Table3[DOE
Reallocation])</f>
        <v>511655.1</v>
      </c>
      <c r="K18" s="49">
        <f>SUBTOTAL(109,Table3[HHS 
2021-22])</f>
        <v>4024837.6000000006</v>
      </c>
      <c r="L18" s="49">
        <f>SUBTOTAL(109,Table3[HHS
Balance])</f>
        <v>2539484.08</v>
      </c>
      <c r="M18" s="34">
        <f>SUBTOTAL(109,Table3[HHS
Spent])</f>
        <v>1485353.5200000003</v>
      </c>
      <c r="N18" s="32">
        <f>SUM(M18/K18)</f>
        <v>0.36904682067172101</v>
      </c>
      <c r="O18" s="27">
        <f>SUBTOTAL(109,Table3[HHS Units Required])</f>
        <v>504</v>
      </c>
      <c r="P18" s="27">
        <f>SUBTOTAL(109,Table3[[HHS Units Completed ]])</f>
        <v>231</v>
      </c>
      <c r="Q18" s="32">
        <f>SUM(P18/O18)</f>
        <v>0.45833333333333331</v>
      </c>
      <c r="R18" s="29">
        <f>SUM(M18/P18)</f>
        <v>6430.101818181819</v>
      </c>
      <c r="S18" s="50"/>
      <c r="T18" s="34">
        <f>SUBTOTAL(109,Table3[DHS ARPA
2021-22])</f>
        <v>2348856.7999999998</v>
      </c>
      <c r="U18" s="34">
        <f>SUBTOTAL(109,Table3[ARPA
Balance])</f>
        <v>1711521.96</v>
      </c>
      <c r="V18" s="34">
        <f>SUBTOTAL(109,Table3[ARPA
Spent])</f>
        <v>637334.84</v>
      </c>
      <c r="W18" s="32">
        <f>SUM(V18/T18)</f>
        <v>0.27133831232282873</v>
      </c>
      <c r="X18" s="27">
        <f>SUBTOTAL(109,Table3[ARPA Units Required])</f>
        <v>297</v>
      </c>
      <c r="Y18" s="27">
        <f>SUBTOTAL(109,Table3[ARPA Units Completed])</f>
        <v>121</v>
      </c>
      <c r="Z18" s="32">
        <f>SUM(Y18/X18)</f>
        <v>0.40740740740740738</v>
      </c>
      <c r="AA18" s="34">
        <f>SUM(V18/Y18)</f>
        <v>5267.2300826446281</v>
      </c>
      <c r="AB18" s="8">
        <f>SUBTOTAL(103,Table3[ARPA
Reallocation])</f>
        <v>0</v>
      </c>
      <c r="AD18" s="8" t="s">
        <v>39</v>
      </c>
      <c r="AE18" s="51">
        <f>SUBTOTAL(109,Table22[All Funds 
Budget])</f>
        <v>10747623.5</v>
      </c>
      <c r="AF18" s="51">
        <f>SUBTOTAL(109,Table22[All Funds 
Balance])</f>
        <v>5375194.0800000001</v>
      </c>
      <c r="AG18" s="51">
        <f>SUBTOTAL(109,Table22[All Funds 
Spent])</f>
        <v>5372429.4200000009</v>
      </c>
      <c r="AH18" s="26">
        <f>SUM(Table22[[#Totals],[All Funds 
Spent]]/Table22[[#Totals],[All Funds 
Budget]])</f>
        <v>0.49987138272940068</v>
      </c>
      <c r="AI18" s="52">
        <f>SUBTOTAL(109,Table22[All Units Required])</f>
        <v>1296</v>
      </c>
      <c r="AJ18" s="53">
        <f>SUBTOTAL(109,Table22[All Units Completed])</f>
        <v>917</v>
      </c>
      <c r="AK18" s="54">
        <f>SUM(Table22[[#Totals],[All Units Completed]]/Table22[[#Totals],[All Units Required]])</f>
        <v>0.70756172839506171</v>
      </c>
    </row>
    <row r="19" spans="1:37" x14ac:dyDescent="0.35">
      <c r="A19" s="48"/>
      <c r="B19" s="25"/>
      <c r="C19" s="25"/>
      <c r="D19" s="25"/>
      <c r="E19" s="55"/>
      <c r="F19" s="27"/>
      <c r="G19" s="27"/>
      <c r="H19" s="27"/>
      <c r="I19" s="56"/>
      <c r="J19" s="57"/>
      <c r="K19" s="31"/>
      <c r="L19" s="31"/>
      <c r="M19" s="25"/>
      <c r="N19" s="58"/>
      <c r="O19" s="27"/>
      <c r="P19" s="27"/>
      <c r="Q19" s="27"/>
      <c r="R19" s="56"/>
      <c r="S19" s="38"/>
      <c r="T19" s="25"/>
      <c r="U19" s="25"/>
      <c r="V19" s="25"/>
      <c r="W19" s="59"/>
      <c r="X19" s="27"/>
      <c r="Y19" s="27"/>
      <c r="Z19" s="27"/>
      <c r="AA19" s="34"/>
    </row>
    <row r="20" spans="1:37" x14ac:dyDescent="0.35">
      <c r="A20" s="48"/>
      <c r="B20" s="60" t="s">
        <v>40</v>
      </c>
      <c r="C20" s="60" t="s">
        <v>41</v>
      </c>
      <c r="D20" s="60" t="s">
        <v>42</v>
      </c>
      <c r="E20" s="61" t="s">
        <v>43</v>
      </c>
      <c r="F20" s="27"/>
      <c r="G20" s="27"/>
      <c r="H20" s="27"/>
      <c r="I20" s="56"/>
      <c r="J20" s="57"/>
      <c r="K20" s="31"/>
      <c r="L20" s="31"/>
      <c r="M20" s="25"/>
      <c r="N20" s="58"/>
      <c r="O20" s="27"/>
      <c r="P20" s="27"/>
      <c r="Q20" s="27"/>
      <c r="R20" s="56"/>
      <c r="S20" s="38"/>
      <c r="T20" s="25"/>
      <c r="U20" s="25"/>
      <c r="V20" s="25"/>
      <c r="W20" s="59"/>
      <c r="X20" s="27"/>
      <c r="Y20" s="27"/>
      <c r="Z20" s="27"/>
      <c r="AA20" s="34"/>
    </row>
    <row r="21" spans="1:37" ht="20.25" customHeight="1" x14ac:dyDescent="0.35">
      <c r="B21" s="62" t="s">
        <v>44</v>
      </c>
      <c r="C21" s="62" t="s">
        <v>45</v>
      </c>
      <c r="D21" s="62" t="s">
        <v>46</v>
      </c>
      <c r="E21" s="63" t="s">
        <v>47</v>
      </c>
    </row>
    <row r="22" spans="1:37" ht="18.75" customHeight="1" x14ac:dyDescent="0.35">
      <c r="B22" s="62" t="s">
        <v>48</v>
      </c>
      <c r="C22" s="62" t="s">
        <v>47</v>
      </c>
      <c r="D22" s="62" t="s">
        <v>49</v>
      </c>
      <c r="E22" s="63" t="s">
        <v>45</v>
      </c>
    </row>
    <row r="23" spans="1:37" ht="24.75" customHeight="1" x14ac:dyDescent="0.35">
      <c r="B23" s="64"/>
    </row>
    <row r="24" spans="1:37" x14ac:dyDescent="0.35">
      <c r="B24" s="65" t="s">
        <v>50</v>
      </c>
    </row>
    <row r="25" spans="1:37" x14ac:dyDescent="0.35">
      <c r="B25" s="65" t="s">
        <v>51</v>
      </c>
    </row>
    <row r="26" spans="1:37" x14ac:dyDescent="0.35">
      <c r="B26" s="65" t="s">
        <v>52</v>
      </c>
    </row>
    <row r="48" spans="2:2" x14ac:dyDescent="0.35">
      <c r="B48" s="68" t="s">
        <v>53</v>
      </c>
    </row>
    <row r="49" spans="2:2" x14ac:dyDescent="0.35">
      <c r="B49" s="69" t="s">
        <v>54</v>
      </c>
    </row>
    <row r="50" spans="2:2" x14ac:dyDescent="0.35">
      <c r="B50" s="70" t="s">
        <v>55</v>
      </c>
    </row>
  </sheetData>
  <conditionalFormatting sqref="E4:E17">
    <cfRule type="cellIs" dxfId="87" priority="7" operator="between">
      <formula>0.67</formula>
      <formula>1</formula>
    </cfRule>
    <cfRule type="cellIs" dxfId="86" priority="8" operator="between">
      <formula>0.34</formula>
      <formula>0.66</formula>
    </cfRule>
    <cfRule type="cellIs" dxfId="85" priority="9" operator="between">
      <formula>0</formula>
      <formula>0.33</formula>
    </cfRule>
  </conditionalFormatting>
  <conditionalFormatting sqref="N4:N17">
    <cfRule type="cellIs" dxfId="84" priority="4" operator="between">
      <formula>0.67</formula>
      <formula>1</formula>
    </cfRule>
    <cfRule type="cellIs" dxfId="83" priority="5" operator="between">
      <formula>0.34</formula>
      <formula>0.66</formula>
    </cfRule>
    <cfRule type="cellIs" dxfId="82" priority="6" operator="between">
      <formula>0</formula>
      <formula>0.33</formula>
    </cfRule>
  </conditionalFormatting>
  <conditionalFormatting sqref="W4:W17">
    <cfRule type="cellIs" dxfId="81" priority="1" operator="between">
      <formula>0.67</formula>
      <formula>1</formula>
    </cfRule>
    <cfRule type="cellIs" dxfId="80" priority="2" operator="between">
      <formula>0.34</formula>
      <formula>0.66</formula>
    </cfRule>
    <cfRule type="cellIs" dxfId="79" priority="3" operator="between">
      <formula>0</formula>
      <formula>0.33</formula>
    </cfRule>
  </conditionalFormatting>
  <pageMargins left="0.7" right="0.7" top="0.75" bottom="0.75" header="0.3" footer="0.3"/>
  <pageSetup scale="25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S&amp;P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Wood</dc:creator>
  <cp:lastModifiedBy>Andrea Schroer</cp:lastModifiedBy>
  <dcterms:created xsi:type="dcterms:W3CDTF">2022-03-02T15:04:28Z</dcterms:created>
  <dcterms:modified xsi:type="dcterms:W3CDTF">2022-03-04T13:50:09Z</dcterms:modified>
</cp:coreProperties>
</file>