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9320" windowHeight="12120" activeTab="1"/>
  </bookViews>
  <sheets>
    <sheet name="Training Sheet House to Garage" sheetId="1" r:id="rId1"/>
    <sheet name="Add a Hole (TRAINING)  " sheetId="2" r:id="rId2"/>
  </sheets>
  <definedNames>
    <definedName name="attic_to_out_expn" localSheetId="1">'Add a Hole (TRAINING)  '!#REF!</definedName>
    <definedName name="attic_to_out_expn">#REF!</definedName>
    <definedName name="house_to_attic_expn" localSheetId="1">'Add a Hole (TRAINING)  '!#REF!</definedName>
    <definedName name="house_to_attic_expn">#REF!</definedName>
    <definedName name="ne" localSheetId="1">'Add a Hole (TRAINING)  '!$F$50</definedName>
    <definedName name="ne">#REF!</definedName>
    <definedName name="ni" localSheetId="1">'Add a Hole (TRAINING)  '!$F$49</definedName>
    <definedName name="ni">#REF!</definedName>
    <definedName name="_xlnm.Print_Area" localSheetId="1">'Add a Hole (TRAINING)  '!$AI$43:$BK$93</definedName>
    <definedName name="_xlnm.Print_Area" localSheetId="0">'Training Sheet House to Garage'!$B$3:$O$55</definedName>
  </definedNames>
  <calcPr fullCalcOnLoad="1"/>
</workbook>
</file>

<file path=xl/sharedStrings.xml><?xml version="1.0" encoding="utf-8"?>
<sst xmlns="http://schemas.openxmlformats.org/spreadsheetml/2006/main" count="101" uniqueCount="74">
  <si>
    <r>
      <t xml:space="preserve">Measure House </t>
    </r>
    <r>
      <rPr>
        <b/>
        <u val="single"/>
        <sz val="14"/>
        <rFont val="Arial"/>
        <family val="2"/>
      </rPr>
      <t>CFM 50 for Door Closed</t>
    </r>
    <r>
      <rPr>
        <b/>
        <sz val="14"/>
        <rFont val="Arial"/>
        <family val="0"/>
      </rPr>
      <t xml:space="preserve"> </t>
    </r>
  </si>
  <si>
    <r>
      <t xml:space="preserve">Measure </t>
    </r>
    <r>
      <rPr>
        <b/>
        <u val="single"/>
        <sz val="14"/>
        <rFont val="Arial"/>
        <family val="2"/>
      </rPr>
      <t>Closed Door Zonal Pressure House WRT Garage</t>
    </r>
  </si>
  <si>
    <r>
      <t>Open</t>
    </r>
    <r>
      <rPr>
        <b/>
        <sz val="14"/>
        <rFont val="Arial"/>
        <family val="0"/>
      </rPr>
      <t xml:space="preserve"> Door from Garage  to House</t>
    </r>
  </si>
  <si>
    <r>
      <t xml:space="preserve">Measure House </t>
    </r>
    <r>
      <rPr>
        <b/>
        <u val="single"/>
        <sz val="14"/>
        <rFont val="Arial"/>
        <family val="2"/>
      </rPr>
      <t>CFM 50 for Door Open</t>
    </r>
    <r>
      <rPr>
        <b/>
        <sz val="14"/>
        <rFont val="Arial"/>
        <family val="0"/>
      </rPr>
      <t xml:space="preserve"> </t>
    </r>
  </si>
  <si>
    <r>
      <t>CFM 50 Difference</t>
    </r>
    <r>
      <rPr>
        <b/>
        <sz val="14"/>
        <rFont val="Arial"/>
        <family val="0"/>
      </rPr>
      <t xml:space="preserve"> =   CFM 50 Door Open - CFM 50 Door Closed</t>
    </r>
  </si>
  <si>
    <t>JUST ENTER NUMBERS IN RED</t>
  </si>
  <si>
    <t>OPEN A DOOR     ( ZONE PRESSURE -  SERIES LEAKAGE DIAGNOSTICS )</t>
  </si>
  <si>
    <t>FOR MAKING HOLE FROM GARAGE TO HOUSE</t>
  </si>
  <si>
    <t xml:space="preserve">Get Blower Door to -50PA WRT Outside </t>
  </si>
  <si>
    <t xml:space="preserve">   closed pressure</t>
  </si>
  <si>
    <t>multiply CFM50 change by…</t>
  </si>
  <si>
    <t>H/G</t>
  </si>
  <si>
    <t>G/O</t>
  </si>
  <si>
    <t>r</t>
  </si>
  <si>
    <t>int</t>
  </si>
  <si>
    <t>ext</t>
  </si>
  <si>
    <t>path</t>
  </si>
  <si>
    <t>A</t>
  </si>
  <si>
    <t>Check G/O</t>
  </si>
  <si>
    <t>B</t>
  </si>
  <si>
    <t>(If Closed Door Zonal Pressure less than 25PA you should use other side of this Sheet)</t>
  </si>
  <si>
    <t xml:space="preserve">Get Blower Door Back to -50PA WRT Outside </t>
  </si>
  <si>
    <t>C</t>
  </si>
  <si>
    <t>Measure Zonal Pressure House WRT Garage (Should be ZERO)</t>
  </si>
  <si>
    <t>D</t>
  </si>
  <si>
    <t xml:space="preserve">Look up Closed Door Zonal Pressure for House WRT Garage on Table </t>
  </si>
  <si>
    <t>Enter Multipliers into labeled Multiplier Boxes Below</t>
  </si>
  <si>
    <t>Multiply CFM 50 Difference (D)  x Multiplier in each row for results</t>
  </si>
  <si>
    <t>Divide CFM 50 by 10 in each row To Determine Approx. Square inches of Leakage</t>
  </si>
  <si>
    <t>Closed Door Pressure</t>
  </si>
  <si>
    <t xml:space="preserve">CFM 50 </t>
  </si>
  <si>
    <t>CFM 50</t>
  </si>
  <si>
    <t>House WRT Garage</t>
  </si>
  <si>
    <t>Door Closed</t>
  </si>
  <si>
    <t>Door Open</t>
  </si>
  <si>
    <t>Difference (C-A)</t>
  </si>
  <si>
    <t>Leakage from Garage to House</t>
  </si>
  <si>
    <t>below here you should probably use other side of card</t>
  </si>
  <si>
    <t>(D)   CFM 50  Difference</t>
  </si>
  <si>
    <t>Multiplier</t>
  </si>
  <si>
    <t>Square Inches</t>
  </si>
  <si>
    <t>Leakage from Garage to Outside</t>
  </si>
  <si>
    <t xml:space="preserve">Total Path Leakage  </t>
  </si>
  <si>
    <t>CFM 50 Reduction Available</t>
  </si>
  <si>
    <t>Collin Olson and Anthony Cox, 2006, following Michael Blasnik</t>
  </si>
  <si>
    <t>PERCENTAGE OF 
TOTAL LEAKAGE</t>
  </si>
  <si>
    <t>Add a Hole to Attic for 10 Pa Shift</t>
  </si>
  <si>
    <t>multiply Hole Area by…</t>
  </si>
  <si>
    <t>H/A</t>
  </si>
  <si>
    <t>A/O</t>
  </si>
  <si>
    <t xml:space="preserve">  Collin Olson and Anthony Cox, 2006, following Michael Blasnik</t>
  </si>
  <si>
    <t>Flow Method: Hole Added from House to Zone</t>
  </si>
  <si>
    <t>Start Press</t>
  </si>
  <si>
    <t>Ending Pressure After Making Hole to from House to Zone</t>
  </si>
  <si>
    <t>Uncertainty %</t>
  </si>
  <si>
    <t>H/Z</t>
  </si>
  <si>
    <t>ending</t>
  </si>
  <si>
    <t>Starting</t>
  </si>
  <si>
    <t>Z/O</t>
  </si>
  <si>
    <t>Before Hole</t>
  </si>
  <si>
    <t>CFM50</t>
  </si>
  <si>
    <t>ni</t>
  </si>
  <si>
    <t>ne</t>
  </si>
  <si>
    <t>&gt;26%</t>
  </si>
  <si>
    <t>After Hole</t>
  </si>
  <si>
    <t>ANSWER</t>
  </si>
  <si>
    <t>CFM50 Diff</t>
  </si>
  <si>
    <t>Maximum
Reduction</t>
  </si>
  <si>
    <t>Low
 Range</t>
  </si>
  <si>
    <t>High
Range</t>
  </si>
  <si>
    <t>Square In</t>
  </si>
  <si>
    <t>Anthony Cox and Collin Olson, 2006, following Michael Blasnik</t>
  </si>
  <si>
    <t>Flow Method: Hole Added from Zone to Outside</t>
  </si>
  <si>
    <r>
      <t xml:space="preserve">All Doors to Garage </t>
    </r>
    <r>
      <rPr>
        <b/>
        <u val="single"/>
        <sz val="14"/>
        <rFont val="Arial"/>
        <family val="2"/>
      </rPr>
      <t>Closed</t>
    </r>
    <r>
      <rPr>
        <b/>
        <sz val="14"/>
        <rFont val="Arial"/>
        <family val="0"/>
      </rPr>
      <t xml:space="preserve"> </t>
    </r>
    <r>
      <rPr>
        <i/>
        <sz val="14"/>
        <rFont val="Arial"/>
        <family val="0"/>
      </rPr>
      <t>(House in winter mode)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</si>
</sst>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"/>
    <numFmt numFmtId="171" formatCode="[$-409]dddd\,\ mmmm\ dd\,\ yyyy"/>
    <numFmt numFmtId="172" formatCode="[$-409]mmmm\ d\,\ yyyy;@"/>
  </numFmts>
  <fonts count="7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b/>
      <sz val="20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0"/>
    </font>
    <font>
      <b/>
      <sz val="48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Tahoma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1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/>
    </xf>
    <xf numFmtId="168" fontId="12" fillId="0" borderId="21" xfId="0" applyNumberFormat="1" applyFont="1" applyBorder="1" applyAlignment="1">
      <alignment horizontal="center"/>
    </xf>
    <xf numFmtId="168" fontId="12" fillId="0" borderId="22" xfId="0" applyNumberFormat="1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 horizontal="center"/>
    </xf>
    <xf numFmtId="168" fontId="12" fillId="33" borderId="23" xfId="0" applyNumberFormat="1" applyFont="1" applyFill="1" applyBorder="1" applyAlignment="1">
      <alignment horizontal="center"/>
    </xf>
    <xf numFmtId="168" fontId="12" fillId="33" borderId="24" xfId="0" applyNumberFormat="1" applyFont="1" applyFill="1" applyBorder="1" applyAlignment="1">
      <alignment horizontal="center"/>
    </xf>
    <xf numFmtId="168" fontId="12" fillId="33" borderId="26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68" fontId="12" fillId="0" borderId="23" xfId="0" applyNumberFormat="1" applyFont="1" applyBorder="1" applyAlignment="1">
      <alignment horizontal="center"/>
    </xf>
    <xf numFmtId="168" fontId="12" fillId="0" borderId="24" xfId="0" applyNumberFormat="1" applyFont="1" applyBorder="1" applyAlignment="1">
      <alignment horizontal="center"/>
    </xf>
    <xf numFmtId="168" fontId="12" fillId="0" borderId="2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textRotation="90"/>
    </xf>
    <xf numFmtId="0" fontId="12" fillId="34" borderId="3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7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7" fillId="35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35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34" borderId="4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12" fillId="36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 vertical="center"/>
    </xf>
    <xf numFmtId="0" fontId="12" fillId="36" borderId="43" xfId="0" applyFont="1" applyFill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9" fontId="0" fillId="37" borderId="4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34" borderId="24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47" xfId="0" applyNumberFormat="1" applyFill="1" applyBorder="1" applyAlignment="1">
      <alignment/>
    </xf>
    <xf numFmtId="0" fontId="12" fillId="36" borderId="40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center" vertical="center"/>
    </xf>
    <xf numFmtId="2" fontId="18" fillId="33" borderId="32" xfId="0" applyNumberFormat="1" applyFont="1" applyFill="1" applyBorder="1" applyAlignment="1">
      <alignment horizontal="center" vertical="center"/>
    </xf>
    <xf numFmtId="9" fontId="0" fillId="38" borderId="48" xfId="0" applyNumberFormat="1" applyFill="1" applyBorder="1" applyAlignment="1">
      <alignment horizontal="center" vertical="center"/>
    </xf>
    <xf numFmtId="2" fontId="0" fillId="0" borderId="47" xfId="0" applyNumberFormat="1" applyBorder="1" applyAlignment="1">
      <alignment/>
    </xf>
    <xf numFmtId="2" fontId="18" fillId="0" borderId="32" xfId="0" applyNumberFormat="1" applyFont="1" applyBorder="1" applyAlignment="1">
      <alignment horizontal="center" vertical="center"/>
    </xf>
    <xf numFmtId="9" fontId="0" fillId="39" borderId="48" xfId="0" applyNumberFormat="1" applyFill="1" applyBorder="1" applyAlignment="1">
      <alignment horizontal="center" vertical="center"/>
    </xf>
    <xf numFmtId="2" fontId="18" fillId="33" borderId="47" xfId="0" applyNumberFormat="1" applyFont="1" applyFill="1" applyBorder="1" applyAlignment="1">
      <alignment horizontal="center" vertical="center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44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9" fontId="0" fillId="40" borderId="48" xfId="0" applyNumberFormat="1" applyFill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40" borderId="34" xfId="0" applyNumberFormat="1" applyFont="1" applyFill="1" applyBorder="1" applyAlignment="1">
      <alignment horizontal="center" vertical="center"/>
    </xf>
    <xf numFmtId="2" fontId="18" fillId="40" borderId="44" xfId="0" applyNumberFormat="1" applyFont="1" applyFill="1" applyBorder="1" applyAlignment="1">
      <alignment horizontal="center" vertical="center"/>
    </xf>
    <xf numFmtId="2" fontId="18" fillId="39" borderId="34" xfId="0" applyNumberFormat="1" applyFont="1" applyFill="1" applyBorder="1" applyAlignment="1">
      <alignment horizontal="center" vertical="center"/>
    </xf>
    <xf numFmtId="2" fontId="18" fillId="39" borderId="4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18" fillId="33" borderId="13" xfId="0" applyNumberFormat="1" applyFont="1" applyFill="1" applyBorder="1" applyAlignment="1">
      <alignment horizontal="center" vertical="center"/>
    </xf>
    <xf numFmtId="2" fontId="18" fillId="33" borderId="50" xfId="0" applyNumberFormat="1" applyFont="1" applyFill="1" applyBorder="1" applyAlignment="1">
      <alignment horizontal="center" vertical="center"/>
    </xf>
    <xf numFmtId="2" fontId="18" fillId="33" borderId="16" xfId="0" applyNumberFormat="1" applyFont="1" applyFill="1" applyBorder="1" applyAlignment="1">
      <alignment horizontal="center" vertical="center"/>
    </xf>
    <xf numFmtId="2" fontId="18" fillId="39" borderId="44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8" fillId="38" borderId="34" xfId="0" applyNumberFormat="1" applyFont="1" applyFill="1" applyBorder="1" applyAlignment="1">
      <alignment horizontal="center" vertical="center"/>
    </xf>
    <xf numFmtId="2" fontId="18" fillId="38" borderId="44" xfId="0" applyNumberFormat="1" applyFont="1" applyFill="1" applyBorder="1" applyAlignment="1">
      <alignment horizontal="center" vertical="center"/>
    </xf>
    <xf numFmtId="2" fontId="18" fillId="38" borderId="45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5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18" fillId="0" borderId="5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37" borderId="34" xfId="0" applyNumberFormat="1" applyFont="1" applyFill="1" applyBorder="1" applyAlignment="1">
      <alignment horizontal="center" vertical="center"/>
    </xf>
    <xf numFmtId="2" fontId="18" fillId="37" borderId="45" xfId="0" applyNumberFormat="1" applyFont="1" applyFill="1" applyBorder="1" applyAlignment="1">
      <alignment horizontal="center" vertical="center"/>
    </xf>
    <xf numFmtId="2" fontId="18" fillId="37" borderId="44" xfId="0" applyNumberFormat="1" applyFont="1" applyFill="1" applyBorder="1" applyAlignment="1">
      <alignment horizontal="center" vertical="center"/>
    </xf>
    <xf numFmtId="2" fontId="18" fillId="33" borderId="52" xfId="0" applyNumberFormat="1" applyFont="1" applyFill="1" applyBorder="1" applyAlignment="1">
      <alignment horizontal="center" vertical="center"/>
    </xf>
    <xf numFmtId="2" fontId="18" fillId="33" borderId="53" xfId="0" applyNumberFormat="1" applyFont="1" applyFill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33" borderId="54" xfId="0" applyNumberFormat="1" applyFont="1" applyFill="1" applyBorder="1" applyAlignment="1">
      <alignment horizontal="center" vertical="center"/>
    </xf>
    <xf numFmtId="2" fontId="18" fillId="33" borderId="55" xfId="0" applyNumberFormat="1" applyFont="1" applyFill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33" borderId="56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0" fillId="0" borderId="47" xfId="0" applyNumberFormat="1" applyBorder="1" applyAlignment="1">
      <alignment/>
    </xf>
    <xf numFmtId="2" fontId="18" fillId="0" borderId="50" xfId="0" applyNumberFormat="1" applyFont="1" applyFill="1" applyBorder="1" applyAlignment="1">
      <alignment horizontal="center" vertical="center"/>
    </xf>
    <xf numFmtId="168" fontId="18" fillId="0" borderId="16" xfId="0" applyNumberFormat="1" applyFont="1" applyFill="1" applyBorder="1" applyAlignment="1">
      <alignment horizontal="center" vertical="center"/>
    </xf>
    <xf numFmtId="168" fontId="18" fillId="0" borderId="52" xfId="0" applyNumberFormat="1" applyFont="1" applyFill="1" applyBorder="1" applyAlignment="1">
      <alignment horizontal="center" vertical="center"/>
    </xf>
    <xf numFmtId="168" fontId="18" fillId="0" borderId="50" xfId="0" applyNumberFormat="1" applyFont="1" applyFill="1" applyBorder="1" applyAlignment="1">
      <alignment horizontal="center" vertical="center"/>
    </xf>
    <xf numFmtId="168" fontId="18" fillId="0" borderId="53" xfId="0" applyNumberFormat="1" applyFont="1" applyBorder="1" applyAlignment="1">
      <alignment horizontal="center" vertical="center"/>
    </xf>
    <xf numFmtId="168" fontId="18" fillId="0" borderId="57" xfId="0" applyNumberFormat="1" applyFont="1" applyBorder="1" applyAlignment="1">
      <alignment horizontal="center" vertical="center"/>
    </xf>
    <xf numFmtId="168" fontId="18" fillId="0" borderId="50" xfId="0" applyNumberFormat="1" applyFont="1" applyBorder="1" applyAlignment="1">
      <alignment horizontal="center" vertical="center"/>
    </xf>
    <xf numFmtId="168" fontId="0" fillId="33" borderId="0" xfId="0" applyNumberFormat="1" applyFill="1" applyBorder="1" applyAlignment="1">
      <alignment/>
    </xf>
    <xf numFmtId="168" fontId="0" fillId="33" borderId="47" xfId="0" applyNumberFormat="1" applyFill="1" applyBorder="1" applyAlignment="1">
      <alignment/>
    </xf>
    <xf numFmtId="168" fontId="18" fillId="33" borderId="0" xfId="0" applyNumberFormat="1" applyFont="1" applyFill="1" applyBorder="1" applyAlignment="1">
      <alignment horizontal="center" vertical="center"/>
    </xf>
    <xf numFmtId="168" fontId="18" fillId="33" borderId="51" xfId="0" applyNumberFormat="1" applyFont="1" applyFill="1" applyBorder="1" applyAlignment="1">
      <alignment horizontal="center" vertical="center"/>
    </xf>
    <xf numFmtId="168" fontId="18" fillId="33" borderId="47" xfId="0" applyNumberFormat="1" applyFont="1" applyFill="1" applyBorder="1" applyAlignment="1">
      <alignment horizontal="center" vertical="center"/>
    </xf>
    <xf numFmtId="168" fontId="18" fillId="33" borderId="54" xfId="0" applyNumberFormat="1" applyFont="1" applyFill="1" applyBorder="1" applyAlignment="1">
      <alignment horizontal="center" vertical="center"/>
    </xf>
    <xf numFmtId="168" fontId="18" fillId="33" borderId="56" xfId="0" applyNumberFormat="1" applyFont="1" applyFill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168" fontId="18" fillId="0" borderId="51" xfId="0" applyNumberFormat="1" applyFont="1" applyBorder="1" applyAlignment="1">
      <alignment horizontal="center" vertical="center"/>
    </xf>
    <xf numFmtId="168" fontId="18" fillId="0" borderId="47" xfId="0" applyNumberFormat="1" applyFont="1" applyBorder="1" applyAlignment="1">
      <alignment horizontal="center" vertical="center"/>
    </xf>
    <xf numFmtId="168" fontId="18" fillId="0" borderId="54" xfId="0" applyNumberFormat="1" applyFont="1" applyBorder="1" applyAlignment="1">
      <alignment horizontal="center" vertical="center"/>
    </xf>
    <xf numFmtId="168" fontId="18" fillId="0" borderId="56" xfId="0" applyNumberFormat="1" applyFont="1" applyBorder="1" applyAlignment="1">
      <alignment horizontal="center" vertical="center"/>
    </xf>
    <xf numFmtId="168" fontId="18" fillId="33" borderId="58" xfId="0" applyNumberFormat="1" applyFont="1" applyFill="1" applyBorder="1" applyAlignment="1">
      <alignment horizontal="center" vertical="center"/>
    </xf>
    <xf numFmtId="168" fontId="18" fillId="0" borderId="59" xfId="0" applyNumberFormat="1" applyFont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2" fontId="18" fillId="33" borderId="57" xfId="0" applyNumberFormat="1" applyFont="1" applyFill="1" applyBorder="1" applyAlignment="1">
      <alignment horizontal="center" vertical="center"/>
    </xf>
    <xf numFmtId="1" fontId="18" fillId="33" borderId="1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18" fillId="0" borderId="0" xfId="0" applyNumberFormat="1" applyFont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68" fontId="18" fillId="0" borderId="52" xfId="0" applyNumberFormat="1" applyFont="1" applyBorder="1" applyAlignment="1">
      <alignment horizontal="center" vertical="center"/>
    </xf>
    <xf numFmtId="168" fontId="18" fillId="0" borderId="16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168" fontId="18" fillId="33" borderId="52" xfId="0" applyNumberFormat="1" applyFont="1" applyFill="1" applyBorder="1" applyAlignment="1">
      <alignment horizontal="center" vertical="center"/>
    </xf>
    <xf numFmtId="168" fontId="18" fillId="33" borderId="16" xfId="0" applyNumberFormat="1" applyFont="1" applyFill="1" applyBorder="1" applyAlignment="1">
      <alignment horizontal="center" vertical="center"/>
    </xf>
    <xf numFmtId="168" fontId="18" fillId="33" borderId="50" xfId="0" applyNumberFormat="1" applyFont="1" applyFill="1" applyBorder="1" applyAlignment="1">
      <alignment horizontal="center" vertical="center"/>
    </xf>
    <xf numFmtId="168" fontId="18" fillId="33" borderId="53" xfId="0" applyNumberFormat="1" applyFont="1" applyFill="1" applyBorder="1" applyAlignment="1">
      <alignment horizontal="center" vertical="center"/>
    </xf>
    <xf numFmtId="10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center"/>
    </xf>
    <xf numFmtId="10" fontId="0" fillId="37" borderId="24" xfId="0" applyNumberFormat="1" applyFill="1" applyBorder="1" applyAlignment="1">
      <alignment/>
    </xf>
    <xf numFmtId="1" fontId="0" fillId="37" borderId="24" xfId="0" applyNumberFormat="1" applyFill="1" applyBorder="1" applyAlignment="1">
      <alignment horizontal="center"/>
    </xf>
    <xf numFmtId="0" fontId="27" fillId="0" borderId="0" xfId="0" applyFont="1" applyAlignment="1">
      <alignment/>
    </xf>
    <xf numFmtId="2" fontId="18" fillId="40" borderId="4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34" borderId="60" xfId="0" applyFont="1" applyFill="1" applyBorder="1" applyAlignment="1">
      <alignment horizontal="center"/>
    </xf>
    <xf numFmtId="2" fontId="0" fillId="0" borderId="61" xfId="0" applyNumberFormat="1" applyBorder="1" applyAlignment="1">
      <alignment/>
    </xf>
    <xf numFmtId="168" fontId="0" fillId="0" borderId="61" xfId="0" applyNumberFormat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12" fillId="36" borderId="31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 horizontal="right"/>
    </xf>
    <xf numFmtId="0" fontId="0" fillId="36" borderId="62" xfId="0" applyFill="1" applyBorder="1" applyAlignment="1">
      <alignment/>
    </xf>
    <xf numFmtId="0" fontId="0" fillId="36" borderId="36" xfId="0" applyFill="1" applyBorder="1" applyAlignment="1">
      <alignment/>
    </xf>
    <xf numFmtId="0" fontId="7" fillId="36" borderId="37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33" borderId="10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2" fontId="9" fillId="0" borderId="19" xfId="0" applyNumberFormat="1" applyFont="1" applyBorder="1" applyAlignment="1" applyProtection="1">
      <alignment horizontal="center"/>
      <protection/>
    </xf>
    <xf numFmtId="2" fontId="9" fillId="0" borderId="20" xfId="0" applyNumberFormat="1" applyFont="1" applyBorder="1" applyAlignment="1" applyProtection="1">
      <alignment horizontal="center"/>
      <protection/>
    </xf>
    <xf numFmtId="2" fontId="9" fillId="0" borderId="21" xfId="0" applyNumberFormat="1" applyFont="1" applyBorder="1" applyAlignment="1" applyProtection="1">
      <alignment horizontal="center"/>
      <protection/>
    </xf>
    <xf numFmtId="2" fontId="9" fillId="0" borderId="22" xfId="0" applyNumberFormat="1" applyFont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2" fontId="9" fillId="33" borderId="25" xfId="0" applyNumberFormat="1" applyFont="1" applyFill="1" applyBorder="1" applyAlignment="1" applyProtection="1">
      <alignment horizontal="center"/>
      <protection/>
    </xf>
    <xf numFmtId="2" fontId="9" fillId="33" borderId="23" xfId="0" applyNumberFormat="1" applyFont="1" applyFill="1" applyBorder="1" applyAlignment="1" applyProtection="1">
      <alignment horizontal="center"/>
      <protection/>
    </xf>
    <xf numFmtId="2" fontId="9" fillId="33" borderId="24" xfId="0" applyNumberFormat="1" applyFont="1" applyFill="1" applyBorder="1" applyAlignment="1" applyProtection="1">
      <alignment horizontal="center"/>
      <protection/>
    </xf>
    <xf numFmtId="2" fontId="9" fillId="33" borderId="2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2" fontId="9" fillId="0" borderId="25" xfId="0" applyNumberFormat="1" applyFont="1" applyBorder="1" applyAlignment="1" applyProtection="1">
      <alignment horizontal="center"/>
      <protection/>
    </xf>
    <xf numFmtId="2" fontId="9" fillId="0" borderId="23" xfId="0" applyNumberFormat="1" applyFont="1" applyBorder="1" applyAlignment="1" applyProtection="1">
      <alignment horizontal="center"/>
      <protection/>
    </xf>
    <xf numFmtId="2" fontId="9" fillId="0" borderId="24" xfId="0" applyNumberFormat="1" applyFont="1" applyBorder="1" applyAlignment="1" applyProtection="1">
      <alignment horizontal="center"/>
      <protection/>
    </xf>
    <xf numFmtId="2" fontId="9" fillId="0" borderId="2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65" xfId="0" applyFont="1" applyBorder="1" applyAlignment="1" applyProtection="1">
      <alignment horizontal="left"/>
      <protection/>
    </xf>
    <xf numFmtId="0" fontId="9" fillId="41" borderId="66" xfId="0" applyFont="1" applyFill="1" applyBorder="1" applyAlignment="1" applyProtection="1">
      <alignment horizontal="center"/>
      <protection/>
    </xf>
    <xf numFmtId="2" fontId="9" fillId="41" borderId="66" xfId="0" applyNumberFormat="1" applyFont="1" applyFill="1" applyBorder="1" applyAlignment="1" applyProtection="1">
      <alignment horizontal="center"/>
      <protection/>
    </xf>
    <xf numFmtId="2" fontId="9" fillId="41" borderId="67" xfId="0" applyNumberFormat="1" applyFont="1" applyFill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2" fontId="9" fillId="42" borderId="25" xfId="0" applyNumberFormat="1" applyFont="1" applyFill="1" applyBorder="1" applyAlignment="1" applyProtection="1">
      <alignment horizontal="center"/>
      <protection/>
    </xf>
    <xf numFmtId="2" fontId="9" fillId="42" borderId="23" xfId="0" applyNumberFormat="1" applyFont="1" applyFill="1" applyBorder="1" applyAlignment="1" applyProtection="1">
      <alignment horizontal="center"/>
      <protection/>
    </xf>
    <xf numFmtId="2" fontId="9" fillId="42" borderId="24" xfId="0" applyNumberFormat="1" applyFont="1" applyFill="1" applyBorder="1" applyAlignment="1" applyProtection="1">
      <alignment horizontal="center"/>
      <protection/>
    </xf>
    <xf numFmtId="2" fontId="9" fillId="42" borderId="26" xfId="0" applyNumberFormat="1" applyFont="1" applyFill="1" applyBorder="1" applyAlignment="1" applyProtection="1">
      <alignment horizontal="center"/>
      <protection/>
    </xf>
    <xf numFmtId="0" fontId="9" fillId="42" borderId="68" xfId="0" applyFont="1" applyFill="1" applyBorder="1" applyAlignment="1" applyProtection="1">
      <alignment horizontal="center"/>
      <protection/>
    </xf>
    <xf numFmtId="0" fontId="9" fillId="42" borderId="69" xfId="0" applyFont="1" applyFill="1" applyBorder="1" applyAlignment="1" applyProtection="1">
      <alignment horizontal="center"/>
      <protection/>
    </xf>
    <xf numFmtId="2" fontId="9" fillId="42" borderId="70" xfId="0" applyNumberFormat="1" applyFont="1" applyFill="1" applyBorder="1" applyAlignment="1" applyProtection="1">
      <alignment horizontal="center"/>
      <protection/>
    </xf>
    <xf numFmtId="2" fontId="9" fillId="42" borderId="68" xfId="0" applyNumberFormat="1" applyFont="1" applyFill="1" applyBorder="1" applyAlignment="1" applyProtection="1">
      <alignment horizontal="center"/>
      <protection/>
    </xf>
    <xf numFmtId="2" fontId="9" fillId="42" borderId="69" xfId="0" applyNumberFormat="1" applyFont="1" applyFill="1" applyBorder="1" applyAlignment="1" applyProtection="1">
      <alignment horizontal="center"/>
      <protection/>
    </xf>
    <xf numFmtId="2" fontId="9" fillId="42" borderId="7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37" borderId="10" xfId="0" applyFont="1" applyFill="1" applyBorder="1" applyAlignment="1" applyProtection="1">
      <alignment horizontal="center" wrapText="1"/>
      <protection/>
    </xf>
    <xf numFmtId="0" fontId="15" fillId="37" borderId="12" xfId="0" applyFont="1" applyFill="1" applyBorder="1" applyAlignment="1" applyProtection="1">
      <alignment horizontal="center"/>
      <protection/>
    </xf>
    <xf numFmtId="0" fontId="15" fillId="37" borderId="32" xfId="0" applyFont="1" applyFill="1" applyBorder="1" applyAlignment="1" applyProtection="1">
      <alignment horizontal="center"/>
      <protection/>
    </xf>
    <xf numFmtId="0" fontId="15" fillId="37" borderId="0" xfId="0" applyFont="1" applyFill="1" applyBorder="1" applyAlignment="1" applyProtection="1">
      <alignment horizontal="center"/>
      <protection/>
    </xf>
    <xf numFmtId="0" fontId="15" fillId="37" borderId="13" xfId="0" applyFont="1" applyFill="1" applyBorder="1" applyAlignment="1" applyProtection="1">
      <alignment horizontal="center"/>
      <protection/>
    </xf>
    <xf numFmtId="0" fontId="15" fillId="37" borderId="16" xfId="0" applyFont="1" applyFill="1" applyBorder="1" applyAlignment="1" applyProtection="1">
      <alignment horizontal="center"/>
      <protection/>
    </xf>
    <xf numFmtId="169" fontId="30" fillId="37" borderId="10" xfId="0" applyNumberFormat="1" applyFont="1" applyFill="1" applyBorder="1" applyAlignment="1" applyProtection="1">
      <alignment horizontal="center"/>
      <protection/>
    </xf>
    <xf numFmtId="169" fontId="30" fillId="37" borderId="11" xfId="0" applyNumberFormat="1" applyFont="1" applyFill="1" applyBorder="1" applyAlignment="1" applyProtection="1">
      <alignment horizontal="center"/>
      <protection/>
    </xf>
    <xf numFmtId="169" fontId="30" fillId="37" borderId="32" xfId="0" applyNumberFormat="1" applyFont="1" applyFill="1" applyBorder="1" applyAlignment="1" applyProtection="1">
      <alignment horizontal="center"/>
      <protection/>
    </xf>
    <xf numFmtId="169" fontId="30" fillId="37" borderId="64" xfId="0" applyNumberFormat="1" applyFont="1" applyFill="1" applyBorder="1" applyAlignment="1" applyProtection="1">
      <alignment horizontal="center"/>
      <protection/>
    </xf>
    <xf numFmtId="169" fontId="30" fillId="37" borderId="13" xfId="0" applyNumberFormat="1" applyFont="1" applyFill="1" applyBorder="1" applyAlignment="1" applyProtection="1">
      <alignment horizontal="center"/>
      <protection/>
    </xf>
    <xf numFmtId="169" fontId="30" fillId="37" borderId="14" xfId="0" applyNumberFormat="1" applyFont="1" applyFill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 vertical="center" textRotation="90"/>
      <protection/>
    </xf>
    <xf numFmtId="49" fontId="12" fillId="0" borderId="38" xfId="0" applyNumberFormat="1" applyFont="1" applyBorder="1" applyAlignment="1" applyProtection="1">
      <alignment horizontal="center" vertical="center" textRotation="90"/>
      <protection/>
    </xf>
    <xf numFmtId="49" fontId="12" fillId="0" borderId="43" xfId="0" applyNumberFormat="1" applyFont="1" applyBorder="1" applyAlignment="1" applyProtection="1">
      <alignment horizontal="center" vertical="center" textRotation="90"/>
      <protection/>
    </xf>
    <xf numFmtId="0" fontId="4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2" fontId="14" fillId="0" borderId="39" xfId="0" applyNumberFormat="1" applyFont="1" applyBorder="1" applyAlignment="1" applyProtection="1">
      <alignment horizontal="center" vertical="center"/>
      <protection/>
    </xf>
    <xf numFmtId="2" fontId="14" fillId="0" borderId="43" xfId="0" applyNumberFormat="1" applyFont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11" xfId="0" applyNumberFormat="1" applyFont="1" applyFill="1" applyBorder="1" applyAlignment="1" applyProtection="1">
      <alignment horizontal="center" vertical="center"/>
      <protection/>
    </xf>
    <xf numFmtId="1" fontId="15" fillId="37" borderId="13" xfId="0" applyNumberFormat="1" applyFont="1" applyFill="1" applyBorder="1" applyAlignment="1" applyProtection="1">
      <alignment horizontal="center" vertical="center"/>
      <protection/>
    </xf>
    <xf numFmtId="1" fontId="15" fillId="37" borderId="14" xfId="0" applyNumberFormat="1" applyFont="1" applyFill="1" applyBorder="1" applyAlignment="1" applyProtection="1">
      <alignment horizontal="center" vertical="center"/>
      <protection/>
    </xf>
    <xf numFmtId="1" fontId="14" fillId="0" borderId="39" xfId="0" applyNumberFormat="1" applyFont="1" applyBorder="1" applyAlignment="1" applyProtection="1">
      <alignment horizontal="center" vertical="center"/>
      <protection/>
    </xf>
    <xf numFmtId="1" fontId="14" fillId="0" borderId="43" xfId="0" applyNumberFormat="1" applyFont="1" applyBorder="1" applyAlignment="1" applyProtection="1">
      <alignment horizontal="center" vertical="center"/>
      <protection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43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1" fontId="31" fillId="37" borderId="72" xfId="0" applyNumberFormat="1" applyFont="1" applyFill="1" applyBorder="1" applyAlignment="1" applyProtection="1">
      <alignment horizontal="center" vertical="center"/>
      <protection/>
    </xf>
    <xf numFmtId="1" fontId="31" fillId="37" borderId="73" xfId="0" applyNumberFormat="1" applyFont="1" applyFill="1" applyBorder="1" applyAlignment="1" applyProtection="1">
      <alignment horizontal="center" vertical="center"/>
      <protection/>
    </xf>
    <xf numFmtId="168" fontId="31" fillId="37" borderId="58" xfId="0" applyNumberFormat="1" applyFont="1" applyFill="1" applyBorder="1" applyAlignment="1" applyProtection="1">
      <alignment horizontal="center" vertical="center"/>
      <protection/>
    </xf>
    <xf numFmtId="168" fontId="31" fillId="37" borderId="74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37" borderId="39" xfId="0" applyNumberFormat="1" applyFont="1" applyFill="1" applyBorder="1" applyAlignment="1" applyProtection="1">
      <alignment horizontal="center" vertical="center"/>
      <protection locked="0"/>
    </xf>
    <xf numFmtId="1" fontId="19" fillId="37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9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 textRotation="90"/>
    </xf>
    <xf numFmtId="0" fontId="0" fillId="0" borderId="43" xfId="0" applyFont="1" applyFill="1" applyBorder="1" applyAlignment="1">
      <alignment horizontal="center" textRotation="90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168" fontId="24" fillId="37" borderId="39" xfId="0" applyNumberFormat="1" applyFont="1" applyFill="1" applyBorder="1" applyAlignment="1">
      <alignment horizontal="center" vertical="center"/>
    </xf>
    <xf numFmtId="168" fontId="24" fillId="37" borderId="43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72" fontId="0" fillId="0" borderId="32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" fontId="24" fillId="37" borderId="39" xfId="0" applyNumberFormat="1" applyFont="1" applyFill="1" applyBorder="1" applyAlignment="1">
      <alignment horizontal="center" vertical="center"/>
    </xf>
    <xf numFmtId="1" fontId="24" fillId="37" borderId="43" xfId="0" applyNumberFormat="1" applyFont="1" applyFill="1" applyBorder="1" applyAlignment="1">
      <alignment horizontal="center" vertical="center"/>
    </xf>
    <xf numFmtId="2" fontId="24" fillId="37" borderId="39" xfId="0" applyNumberFormat="1" applyFont="1" applyFill="1" applyBorder="1" applyAlignment="1">
      <alignment horizontal="center" vertical="center"/>
    </xf>
    <xf numFmtId="2" fontId="24" fillId="37" borderId="4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6</xdr:row>
      <xdr:rowOff>180975</xdr:rowOff>
    </xdr:from>
    <xdr:to>
      <xdr:col>8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1504950"/>
          <a:ext cx="34956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Open House Door to Garage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70</xdr:row>
      <xdr:rowOff>9525</xdr:rowOff>
    </xdr:from>
    <xdr:to>
      <xdr:col>49</xdr:col>
      <xdr:colOff>123825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8725" y="5591175"/>
          <a:ext cx="38862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Attic Example (House in Winter Mode)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Attic Access Closed with Hose Running to Blower Door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Measure House CFM 50  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(example: 2400 CFM50)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Measure House to Attic Pressure (Verify with Attic to Outside)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(example: 36 PA House to Attic)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Opening From House to Attic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(enough for at least 6 PA Change)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Measure House CFM 50   </a:t>
          </a: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(example: 3000 CFM50)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Measure House to Attic Pressure (Verify with Attic to Outside)
</a:t>
          </a: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(example: 20PA House to Attic)</a:t>
          </a:r>
        </a:p>
      </xdr:txBody>
    </xdr:sp>
    <xdr:clientData/>
  </xdr:twoCellAnchor>
  <xdr:twoCellAnchor>
    <xdr:from>
      <xdr:col>37</xdr:col>
      <xdr:colOff>9525</xdr:colOff>
      <xdr:row>81</xdr:row>
      <xdr:rowOff>152400</xdr:rowOff>
    </xdr:from>
    <xdr:to>
      <xdr:col>55</xdr:col>
      <xdr:colOff>9525</xdr:colOff>
      <xdr:row>92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8725" y="7600950"/>
          <a:ext cx="5657850" cy="1733550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 2nd Blower Door Reading (3000) - First Blower Reading (2400)  =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600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Look in Row with 36 H/Z and move over to Column with 20 H/Z to Find Multiplier =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1.56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Take 600 X 1.56 = 936 
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(This is Maximum CFM50 REDUCTION AVAILABLE by sealing all holes to Attic)
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Determine Uncertainty Range multiply Answer by  percentage in Uncertainty Table
</a:t>
          </a: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Determine Approximate Hole Size Divide Answer by 10 (936 / 10= 94 sq in)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P55"/>
  <sheetViews>
    <sheetView zoomScale="125" zoomScaleNormal="125" zoomScaleSheetLayoutView="50" zoomScalePageLayoutView="0" workbookViewId="0" topLeftCell="A10">
      <selection activeCell="L31" sqref="L31:L32"/>
    </sheetView>
  </sheetViews>
  <sheetFormatPr defaultColWidth="8.8515625" defaultRowHeight="12.75"/>
  <cols>
    <col min="1" max="1" width="18.7109375" style="175" customWidth="1"/>
    <col min="2" max="2" width="4.28125" style="175" customWidth="1"/>
    <col min="3" max="4" width="10.421875" style="175" customWidth="1"/>
    <col min="5" max="5" width="0" style="175" hidden="1" customWidth="1"/>
    <col min="6" max="7" width="10.00390625" style="175" customWidth="1"/>
    <col min="8" max="8" width="11.28125" style="175" customWidth="1"/>
    <col min="9" max="9" width="5.28125" style="175" customWidth="1"/>
    <col min="10" max="10" width="4.7109375" style="175" customWidth="1"/>
    <col min="11" max="11" width="7.140625" style="176" customWidth="1"/>
    <col min="12" max="12" width="28.28125" style="175" customWidth="1"/>
    <col min="13" max="13" width="26.28125" style="175" customWidth="1"/>
    <col min="14" max="14" width="25.7109375" style="175" customWidth="1"/>
    <col min="15" max="15" width="32.8515625" style="175" customWidth="1"/>
    <col min="16" max="16" width="13.28125" style="175" customWidth="1"/>
    <col min="17" max="17" width="14.421875" style="175" customWidth="1"/>
    <col min="18" max="19" width="12.7109375" style="175" customWidth="1"/>
    <col min="20" max="20" width="13.28125" style="175" customWidth="1"/>
    <col min="21" max="21" width="14.421875" style="175" customWidth="1"/>
    <col min="22" max="16384" width="8.8515625" style="175" customWidth="1"/>
  </cols>
  <sheetData>
    <row r="3" spans="2:15" ht="33.75">
      <c r="B3" s="264" t="s">
        <v>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1.2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2:16" ht="21" customHeight="1">
      <c r="L5" s="177" t="s">
        <v>7</v>
      </c>
      <c r="P5" s="178" t="s">
        <v>5</v>
      </c>
    </row>
    <row r="7" spans="11:15" ht="21" customHeight="1">
      <c r="K7" s="179"/>
      <c r="L7" s="180" t="s">
        <v>73</v>
      </c>
      <c r="M7" s="181"/>
      <c r="N7" s="181"/>
      <c r="O7" s="181"/>
    </row>
    <row r="8" spans="11:15" ht="21" customHeight="1" thickBot="1">
      <c r="K8" s="182"/>
      <c r="L8" s="180" t="s">
        <v>8</v>
      </c>
      <c r="M8" s="181"/>
      <c r="N8" s="181"/>
      <c r="O8" s="181"/>
    </row>
    <row r="9" spans="3:15" ht="18" customHeight="1" thickBot="1">
      <c r="C9" s="183" t="s">
        <v>9</v>
      </c>
      <c r="D9" s="184"/>
      <c r="E9" s="185"/>
      <c r="F9" s="186" t="s">
        <v>10</v>
      </c>
      <c r="G9" s="187"/>
      <c r="H9" s="184"/>
      <c r="K9" s="182"/>
      <c r="L9" s="180"/>
      <c r="M9" s="181"/>
      <c r="N9" s="181"/>
      <c r="O9" s="181"/>
    </row>
    <row r="10" spans="3:16" ht="18" customHeight="1" thickBot="1">
      <c r="C10" s="188" t="s">
        <v>11</v>
      </c>
      <c r="D10" s="189" t="s">
        <v>12</v>
      </c>
      <c r="E10" s="190" t="s">
        <v>13</v>
      </c>
      <c r="F10" s="188" t="s">
        <v>14</v>
      </c>
      <c r="G10" s="191" t="s">
        <v>15</v>
      </c>
      <c r="H10" s="189" t="s">
        <v>16</v>
      </c>
      <c r="K10" s="182" t="s">
        <v>17</v>
      </c>
      <c r="L10" s="180" t="s">
        <v>0</v>
      </c>
      <c r="M10" s="181"/>
      <c r="N10" s="181"/>
      <c r="O10" s="181"/>
      <c r="P10" s="192"/>
    </row>
    <row r="11" spans="2:16" ht="18" customHeight="1">
      <c r="B11" s="261" t="s">
        <v>18</v>
      </c>
      <c r="C11" s="193">
        <v>48</v>
      </c>
      <c r="D11" s="194">
        <f aca="true" t="shared" si="0" ref="D11:D34">50-C11</f>
        <v>2</v>
      </c>
      <c r="E11" s="195">
        <f aca="true" t="shared" si="1" ref="E11:E34">D11/50</f>
        <v>0.04</v>
      </c>
      <c r="F11" s="196">
        <f aca="true" t="shared" si="2" ref="F11:F34">G11*(D11/C11)^0.65</f>
        <v>0.1445654731339528</v>
      </c>
      <c r="G11" s="197">
        <f aca="true" t="shared" si="3" ref="G11:G34">50^0.65/(50^0.65-D11^0.65)</f>
        <v>1.1407799748831582</v>
      </c>
      <c r="H11" s="198">
        <f aca="true" t="shared" si="4" ref="H11:H34">G11*(D11/50)^0.65</f>
        <v>0.14077997488315816</v>
      </c>
      <c r="K11" s="182" t="s">
        <v>19</v>
      </c>
      <c r="L11" s="180" t="s">
        <v>1</v>
      </c>
      <c r="M11" s="181"/>
      <c r="N11" s="181"/>
      <c r="O11" s="181"/>
      <c r="P11" s="192"/>
    </row>
    <row r="12" spans="2:16" ht="18" customHeight="1">
      <c r="B12" s="262"/>
      <c r="C12" s="199">
        <f aca="true" t="shared" si="5" ref="C12:C34">C11-1</f>
        <v>47</v>
      </c>
      <c r="D12" s="200">
        <f t="shared" si="0"/>
        <v>3</v>
      </c>
      <c r="E12" s="201">
        <f t="shared" si="1"/>
        <v>0.06</v>
      </c>
      <c r="F12" s="202">
        <f t="shared" si="2"/>
        <v>0.19920780054223355</v>
      </c>
      <c r="G12" s="203">
        <f t="shared" si="3"/>
        <v>1.191354837282729</v>
      </c>
      <c r="H12" s="204">
        <f t="shared" si="4"/>
        <v>0.19135483728272898</v>
      </c>
      <c r="K12" s="182"/>
      <c r="L12" s="205" t="s">
        <v>20</v>
      </c>
      <c r="M12" s="181"/>
      <c r="N12" s="181"/>
      <c r="O12" s="181"/>
      <c r="P12" s="192"/>
    </row>
    <row r="13" spans="2:16" ht="18" customHeight="1">
      <c r="B13" s="262"/>
      <c r="C13" s="206">
        <f t="shared" si="5"/>
        <v>46</v>
      </c>
      <c r="D13" s="207">
        <f t="shared" si="0"/>
        <v>4</v>
      </c>
      <c r="E13" s="208">
        <f t="shared" si="1"/>
        <v>0.08</v>
      </c>
      <c r="F13" s="209">
        <f t="shared" si="2"/>
        <v>0.25352491732173615</v>
      </c>
      <c r="G13" s="210">
        <f t="shared" si="3"/>
        <v>1.2401500810415018</v>
      </c>
      <c r="H13" s="211">
        <f t="shared" si="4"/>
        <v>0.24015008104150193</v>
      </c>
      <c r="K13" s="182"/>
      <c r="L13" s="205"/>
      <c r="M13" s="181"/>
      <c r="N13" s="181"/>
      <c r="O13" s="181"/>
      <c r="P13" s="192"/>
    </row>
    <row r="14" spans="2:16" ht="18" customHeight="1" thickBot="1">
      <c r="B14" s="263"/>
      <c r="C14" s="199">
        <f t="shared" si="5"/>
        <v>45</v>
      </c>
      <c r="D14" s="200">
        <f t="shared" si="0"/>
        <v>5</v>
      </c>
      <c r="E14" s="201">
        <f t="shared" si="1"/>
        <v>0.1</v>
      </c>
      <c r="F14" s="202">
        <f t="shared" si="2"/>
        <v>0.3088937214969042</v>
      </c>
      <c r="G14" s="203">
        <f t="shared" si="3"/>
        <v>1.2884474554436227</v>
      </c>
      <c r="H14" s="204">
        <f t="shared" si="4"/>
        <v>0.2884474554436227</v>
      </c>
      <c r="K14" s="182"/>
      <c r="L14" s="212" t="s">
        <v>2</v>
      </c>
      <c r="M14" s="181"/>
      <c r="N14" s="181"/>
      <c r="O14" s="181"/>
      <c r="P14" s="192"/>
    </row>
    <row r="15" spans="3:16" ht="18" customHeight="1">
      <c r="C15" s="206">
        <f t="shared" si="5"/>
        <v>44</v>
      </c>
      <c r="D15" s="207">
        <f t="shared" si="0"/>
        <v>6</v>
      </c>
      <c r="E15" s="208">
        <f t="shared" si="1"/>
        <v>0.12</v>
      </c>
      <c r="F15" s="209">
        <f t="shared" si="2"/>
        <v>0.3661635756366473</v>
      </c>
      <c r="G15" s="210">
        <f t="shared" si="3"/>
        <v>1.3369681683803152</v>
      </c>
      <c r="H15" s="211">
        <f t="shared" si="4"/>
        <v>0.33696816838031524</v>
      </c>
      <c r="K15" s="182"/>
      <c r="L15" s="180" t="s">
        <v>21</v>
      </c>
      <c r="M15" s="181"/>
      <c r="N15" s="181"/>
      <c r="O15" s="181"/>
      <c r="P15" s="192"/>
    </row>
    <row r="16" spans="3:16" ht="18" customHeight="1">
      <c r="C16" s="199">
        <f t="shared" si="5"/>
        <v>43</v>
      </c>
      <c r="D16" s="200">
        <f t="shared" si="0"/>
        <v>7</v>
      </c>
      <c r="E16" s="201">
        <f t="shared" si="1"/>
        <v>0.14</v>
      </c>
      <c r="F16" s="202">
        <f t="shared" si="2"/>
        <v>0.42597479952316797</v>
      </c>
      <c r="G16" s="203">
        <f t="shared" si="3"/>
        <v>1.3861961149050035</v>
      </c>
      <c r="H16" s="204">
        <f t="shared" si="4"/>
        <v>0.38619611490500355</v>
      </c>
      <c r="K16" s="182" t="s">
        <v>22</v>
      </c>
      <c r="L16" s="180" t="s">
        <v>3</v>
      </c>
      <c r="M16" s="181"/>
      <c r="N16" s="181"/>
      <c r="O16" s="181"/>
      <c r="P16" s="192"/>
    </row>
    <row r="17" spans="3:16" ht="18" customHeight="1">
      <c r="C17" s="206">
        <f t="shared" si="5"/>
        <v>42</v>
      </c>
      <c r="D17" s="207">
        <f t="shared" si="0"/>
        <v>8</v>
      </c>
      <c r="E17" s="208">
        <f t="shared" si="1"/>
        <v>0.16</v>
      </c>
      <c r="F17" s="209">
        <f t="shared" si="2"/>
        <v>0.4888794797632837</v>
      </c>
      <c r="G17" s="210">
        <f t="shared" si="3"/>
        <v>1.436499091872484</v>
      </c>
      <c r="H17" s="211">
        <f t="shared" si="4"/>
        <v>0.43649909187248426</v>
      </c>
      <c r="K17" s="182"/>
      <c r="L17" s="180" t="s">
        <v>23</v>
      </c>
      <c r="M17" s="181"/>
      <c r="N17" s="181"/>
      <c r="O17" s="181"/>
      <c r="P17" s="192"/>
    </row>
    <row r="18" spans="3:16" ht="18" customHeight="1">
      <c r="C18" s="199">
        <f t="shared" si="5"/>
        <v>41</v>
      </c>
      <c r="D18" s="200">
        <f t="shared" si="0"/>
        <v>9</v>
      </c>
      <c r="E18" s="201">
        <f t="shared" si="1"/>
        <v>0.18</v>
      </c>
      <c r="F18" s="202">
        <f t="shared" si="2"/>
        <v>0.5553987034160724</v>
      </c>
      <c r="G18" s="203">
        <f t="shared" si="3"/>
        <v>1.4881843642959505</v>
      </c>
      <c r="H18" s="204">
        <f t="shared" si="4"/>
        <v>0.48818436429595047</v>
      </c>
      <c r="K18" s="182"/>
      <c r="L18" s="180"/>
      <c r="M18" s="181"/>
      <c r="N18" s="181"/>
      <c r="O18" s="181"/>
      <c r="P18" s="192"/>
    </row>
    <row r="19" spans="3:16" ht="18" customHeight="1">
      <c r="C19" s="206">
        <f t="shared" si="5"/>
        <v>40</v>
      </c>
      <c r="D19" s="207">
        <f t="shared" si="0"/>
        <v>10</v>
      </c>
      <c r="E19" s="208">
        <f t="shared" si="1"/>
        <v>0.2</v>
      </c>
      <c r="F19" s="209">
        <f t="shared" si="2"/>
        <v>0.6260549042902493</v>
      </c>
      <c r="G19" s="210">
        <f t="shared" si="3"/>
        <v>1.5415279957282535</v>
      </c>
      <c r="H19" s="211">
        <f t="shared" si="4"/>
        <v>0.5415279957282534</v>
      </c>
      <c r="K19" s="182" t="s">
        <v>24</v>
      </c>
      <c r="L19" s="212" t="s">
        <v>4</v>
      </c>
      <c r="M19" s="181"/>
      <c r="N19" s="181"/>
      <c r="O19" s="181"/>
      <c r="P19" s="192"/>
    </row>
    <row r="20" spans="3:16" ht="18" customHeight="1">
      <c r="C20" s="199">
        <f t="shared" si="5"/>
        <v>39</v>
      </c>
      <c r="D20" s="200">
        <f t="shared" si="0"/>
        <v>11</v>
      </c>
      <c r="E20" s="201">
        <f t="shared" si="1"/>
        <v>0.22</v>
      </c>
      <c r="F20" s="202">
        <f t="shared" si="2"/>
        <v>0.7013933715453825</v>
      </c>
      <c r="G20" s="203">
        <f t="shared" si="3"/>
        <v>1.5967922147396392</v>
      </c>
      <c r="H20" s="204">
        <f t="shared" si="4"/>
        <v>0.5967922147396388</v>
      </c>
      <c r="K20" s="182"/>
      <c r="L20" s="180"/>
      <c r="M20" s="181"/>
      <c r="N20" s="181"/>
      <c r="O20" s="181"/>
      <c r="P20" s="192"/>
    </row>
    <row r="21" spans="3:16" ht="18" customHeight="1">
      <c r="C21" s="206">
        <f t="shared" si="5"/>
        <v>38</v>
      </c>
      <c r="D21" s="207">
        <f t="shared" si="0"/>
        <v>12</v>
      </c>
      <c r="E21" s="208">
        <f t="shared" si="1"/>
        <v>0.24</v>
      </c>
      <c r="F21" s="209">
        <f t="shared" si="2"/>
        <v>0.7819989329566792</v>
      </c>
      <c r="G21" s="210">
        <f t="shared" si="3"/>
        <v>1.6542368398428757</v>
      </c>
      <c r="H21" s="211">
        <f t="shared" si="4"/>
        <v>0.6542368398428756</v>
      </c>
      <c r="K21" s="179"/>
      <c r="L21" s="180" t="s">
        <v>25</v>
      </c>
      <c r="M21" s="181"/>
      <c r="N21" s="181"/>
      <c r="O21" s="181"/>
      <c r="P21" s="192"/>
    </row>
    <row r="22" spans="3:15" ht="18" customHeight="1">
      <c r="C22" s="199">
        <f t="shared" si="5"/>
        <v>37</v>
      </c>
      <c r="D22" s="200">
        <f t="shared" si="0"/>
        <v>13</v>
      </c>
      <c r="E22" s="201">
        <f t="shared" si="1"/>
        <v>0.26</v>
      </c>
      <c r="F22" s="202">
        <f t="shared" si="2"/>
        <v>0.8685107737462449</v>
      </c>
      <c r="G22" s="203">
        <f t="shared" si="3"/>
        <v>1.7141276160263075</v>
      </c>
      <c r="H22" s="204">
        <f t="shared" si="4"/>
        <v>0.7141276160263074</v>
      </c>
      <c r="K22" s="179"/>
      <c r="M22" s="181"/>
      <c r="N22" s="181"/>
      <c r="O22" s="181"/>
    </row>
    <row r="23" spans="3:15" ht="18" customHeight="1">
      <c r="C23" s="206">
        <f t="shared" si="5"/>
        <v>36</v>
      </c>
      <c r="D23" s="207">
        <f t="shared" si="0"/>
        <v>14</v>
      </c>
      <c r="E23" s="208">
        <f t="shared" si="1"/>
        <v>0.28</v>
      </c>
      <c r="F23" s="209">
        <f t="shared" si="2"/>
        <v>0.9616370763881793</v>
      </c>
      <c r="G23" s="210">
        <f t="shared" si="3"/>
        <v>1.7767429535180868</v>
      </c>
      <c r="H23" s="211">
        <f t="shared" si="4"/>
        <v>0.7767429535180869</v>
      </c>
      <c r="K23" s="179"/>
      <c r="L23" s="180" t="s">
        <v>26</v>
      </c>
      <c r="M23" s="181"/>
      <c r="N23" s="181"/>
      <c r="O23" s="181"/>
    </row>
    <row r="24" spans="3:16" s="213" customFormat="1" ht="18" customHeight="1">
      <c r="C24" s="199">
        <f t="shared" si="5"/>
        <v>35</v>
      </c>
      <c r="D24" s="200">
        <f t="shared" si="0"/>
        <v>15</v>
      </c>
      <c r="E24" s="201">
        <f t="shared" si="1"/>
        <v>0.3</v>
      </c>
      <c r="F24" s="202">
        <f t="shared" si="2"/>
        <v>1.062170614480866</v>
      </c>
      <c r="G24" s="203">
        <f t="shared" si="3"/>
        <v>1.8423799245459316</v>
      </c>
      <c r="H24" s="204">
        <f t="shared" si="4"/>
        <v>0.8423799245459315</v>
      </c>
      <c r="I24" s="175"/>
      <c r="K24" s="179"/>
      <c r="L24" s="180" t="s">
        <v>27</v>
      </c>
      <c r="M24" s="181"/>
      <c r="N24" s="181"/>
      <c r="O24" s="181"/>
      <c r="P24" s="175"/>
    </row>
    <row r="25" spans="3:16" s="214" customFormat="1" ht="18" customHeight="1">
      <c r="C25" s="206">
        <f t="shared" si="5"/>
        <v>34</v>
      </c>
      <c r="D25" s="207">
        <f t="shared" si="0"/>
        <v>16</v>
      </c>
      <c r="E25" s="208">
        <f t="shared" si="1"/>
        <v>0.32</v>
      </c>
      <c r="F25" s="209">
        <f t="shared" si="2"/>
        <v>1.1710062148966365</v>
      </c>
      <c r="G25" s="210">
        <f t="shared" si="3"/>
        <v>1.911360062932709</v>
      </c>
      <c r="H25" s="211">
        <f t="shared" si="4"/>
        <v>0.911360062932709</v>
      </c>
      <c r="I25" s="175"/>
      <c r="K25" s="179"/>
      <c r="L25" s="181"/>
      <c r="M25" s="181"/>
      <c r="N25" s="181"/>
      <c r="O25" s="181"/>
      <c r="P25" s="175"/>
    </row>
    <row r="26" spans="3:16" s="214" customFormat="1" ht="18" customHeight="1">
      <c r="C26" s="199">
        <f t="shared" si="5"/>
        <v>33</v>
      </c>
      <c r="D26" s="200">
        <f t="shared" si="0"/>
        <v>17</v>
      </c>
      <c r="E26" s="201">
        <f t="shared" si="1"/>
        <v>0.34</v>
      </c>
      <c r="F26" s="202">
        <f t="shared" si="2"/>
        <v>1.289160961079803</v>
      </c>
      <c r="G26" s="203">
        <f t="shared" si="3"/>
        <v>1.984035358065075</v>
      </c>
      <c r="H26" s="204">
        <f t="shared" si="4"/>
        <v>0.984035358065075</v>
      </c>
      <c r="I26" s="213"/>
      <c r="K26" s="179"/>
      <c r="L26" s="180" t="s">
        <v>28</v>
      </c>
      <c r="M26" s="181"/>
      <c r="N26" s="181"/>
      <c r="O26" s="181"/>
      <c r="P26" s="175"/>
    </row>
    <row r="27" spans="3:16" s="214" customFormat="1" ht="18" customHeight="1">
      <c r="C27" s="206">
        <f t="shared" si="5"/>
        <v>32</v>
      </c>
      <c r="D27" s="207">
        <f t="shared" si="0"/>
        <v>18</v>
      </c>
      <c r="E27" s="208">
        <f t="shared" si="1"/>
        <v>0.36</v>
      </c>
      <c r="F27" s="209">
        <f t="shared" si="2"/>
        <v>1.417798083575415</v>
      </c>
      <c r="G27" s="210">
        <f t="shared" si="3"/>
        <v>2.060794765591835</v>
      </c>
      <c r="H27" s="211">
        <f t="shared" si="4"/>
        <v>1.060794765591835</v>
      </c>
      <c r="K27" s="179"/>
      <c r="L27" s="181"/>
      <c r="M27" s="181"/>
      <c r="N27" s="181"/>
      <c r="O27" s="181"/>
      <c r="P27" s="175"/>
    </row>
    <row r="28" spans="3:16" s="214" customFormat="1" ht="18" customHeight="1" thickBot="1">
      <c r="C28" s="199">
        <f t="shared" si="5"/>
        <v>31</v>
      </c>
      <c r="D28" s="200">
        <f t="shared" si="0"/>
        <v>19</v>
      </c>
      <c r="E28" s="201">
        <f t="shared" si="1"/>
        <v>0.38</v>
      </c>
      <c r="F28" s="202">
        <f t="shared" si="2"/>
        <v>1.5582556505951162</v>
      </c>
      <c r="G28" s="203">
        <f t="shared" si="3"/>
        <v>2.142071538374215</v>
      </c>
      <c r="H28" s="204">
        <f t="shared" si="4"/>
        <v>1.142071538374215</v>
      </c>
      <c r="K28" s="215"/>
      <c r="L28" s="216" t="s">
        <v>19</v>
      </c>
      <c r="M28" s="216" t="s">
        <v>17</v>
      </c>
      <c r="N28" s="216" t="s">
        <v>22</v>
      </c>
      <c r="O28" s="216" t="s">
        <v>24</v>
      </c>
      <c r="P28" s="213"/>
    </row>
    <row r="29" spans="3:16" ht="18" customHeight="1">
      <c r="C29" s="206">
        <f t="shared" si="5"/>
        <v>30</v>
      </c>
      <c r="D29" s="207">
        <f t="shared" si="0"/>
        <v>20</v>
      </c>
      <c r="E29" s="208">
        <f t="shared" si="1"/>
        <v>0.4</v>
      </c>
      <c r="F29" s="209">
        <f t="shared" si="2"/>
        <v>1.7120814333616359</v>
      </c>
      <c r="G29" s="210">
        <f t="shared" si="3"/>
        <v>2.228351697524564</v>
      </c>
      <c r="H29" s="211">
        <f t="shared" si="4"/>
        <v>1.228351697524564</v>
      </c>
      <c r="I29" s="214"/>
      <c r="K29" s="217"/>
      <c r="L29" s="218" t="s">
        <v>29</v>
      </c>
      <c r="M29" s="219" t="s">
        <v>30</v>
      </c>
      <c r="N29" s="220" t="s">
        <v>30</v>
      </c>
      <c r="O29" s="220" t="s">
        <v>31</v>
      </c>
      <c r="P29" s="214"/>
    </row>
    <row r="30" spans="3:16" s="213" customFormat="1" ht="18" customHeight="1" thickBot="1">
      <c r="C30" s="199">
        <f t="shared" si="5"/>
        <v>29</v>
      </c>
      <c r="D30" s="200">
        <f t="shared" si="0"/>
        <v>21</v>
      </c>
      <c r="E30" s="201">
        <f t="shared" si="1"/>
        <v>0.42</v>
      </c>
      <c r="F30" s="202">
        <f t="shared" si="2"/>
        <v>1.8810756959926964</v>
      </c>
      <c r="G30" s="203">
        <f t="shared" si="3"/>
        <v>2.320184009332672</v>
      </c>
      <c r="H30" s="204">
        <f t="shared" si="4"/>
        <v>1.3201840093326718</v>
      </c>
      <c r="I30" s="214"/>
      <c r="K30" s="221"/>
      <c r="L30" s="222" t="s">
        <v>32</v>
      </c>
      <c r="M30" s="223" t="s">
        <v>33</v>
      </c>
      <c r="N30" s="222" t="s">
        <v>34</v>
      </c>
      <c r="O30" s="222" t="s">
        <v>35</v>
      </c>
      <c r="P30" s="214"/>
    </row>
    <row r="31" spans="3:15" s="214" customFormat="1" ht="18" customHeight="1">
      <c r="C31" s="206">
        <f t="shared" si="5"/>
        <v>28</v>
      </c>
      <c r="D31" s="207">
        <f t="shared" si="0"/>
        <v>22</v>
      </c>
      <c r="E31" s="208">
        <f t="shared" si="1"/>
        <v>0.44</v>
      </c>
      <c r="F31" s="209">
        <f t="shared" si="2"/>
        <v>2.06734418133764</v>
      </c>
      <c r="G31" s="210">
        <f t="shared" si="3"/>
        <v>2.418191909952031</v>
      </c>
      <c r="H31" s="211">
        <f t="shared" si="4"/>
        <v>1.4181919099520308</v>
      </c>
      <c r="I31" s="175"/>
      <c r="K31" s="221"/>
      <c r="L31" s="277">
        <v>40</v>
      </c>
      <c r="M31" s="277">
        <v>2323</v>
      </c>
      <c r="N31" s="277">
        <v>3000</v>
      </c>
      <c r="O31" s="279">
        <f>N31-M31</f>
        <v>677</v>
      </c>
    </row>
    <row r="32" spans="3:16" s="214" customFormat="1" ht="18" customHeight="1" thickBot="1">
      <c r="C32" s="199">
        <f t="shared" si="5"/>
        <v>27</v>
      </c>
      <c r="D32" s="200">
        <f t="shared" si="0"/>
        <v>23</v>
      </c>
      <c r="E32" s="201">
        <f t="shared" si="1"/>
        <v>0.46</v>
      </c>
      <c r="F32" s="202">
        <f t="shared" si="2"/>
        <v>2.273364285171264</v>
      </c>
      <c r="G32" s="203">
        <f t="shared" si="3"/>
        <v>2.523087931015219</v>
      </c>
      <c r="H32" s="204">
        <f t="shared" si="4"/>
        <v>1.5230879310152188</v>
      </c>
      <c r="I32" s="213"/>
      <c r="K32" s="176"/>
      <c r="L32" s="278"/>
      <c r="M32" s="278"/>
      <c r="N32" s="278"/>
      <c r="O32" s="280"/>
      <c r="P32" s="175"/>
    </row>
    <row r="33" spans="3:16" ht="18" customHeight="1">
      <c r="C33" s="206">
        <f t="shared" si="5"/>
        <v>26</v>
      </c>
      <c r="D33" s="207">
        <f t="shared" si="0"/>
        <v>24</v>
      </c>
      <c r="E33" s="208">
        <f t="shared" si="1"/>
        <v>0.48</v>
      </c>
      <c r="F33" s="209">
        <f t="shared" si="2"/>
        <v>2.5020684107093603</v>
      </c>
      <c r="G33" s="210">
        <f t="shared" si="3"/>
        <v>2.635691335693982</v>
      </c>
      <c r="H33" s="211">
        <f t="shared" si="4"/>
        <v>1.6356913356939813</v>
      </c>
      <c r="I33" s="214"/>
      <c r="K33" s="215"/>
      <c r="P33" s="213"/>
    </row>
    <row r="34" spans="3:16" ht="18" customHeight="1" thickBot="1">
      <c r="C34" s="199">
        <f t="shared" si="5"/>
        <v>25</v>
      </c>
      <c r="D34" s="200">
        <f t="shared" si="0"/>
        <v>25</v>
      </c>
      <c r="E34" s="201">
        <f t="shared" si="1"/>
        <v>0.5</v>
      </c>
      <c r="F34" s="202">
        <f t="shared" si="2"/>
        <v>2.756949891772954</v>
      </c>
      <c r="G34" s="203">
        <f t="shared" si="3"/>
        <v>2.756949891772954</v>
      </c>
      <c r="H34" s="204">
        <f t="shared" si="4"/>
        <v>1.756949891772954</v>
      </c>
      <c r="I34" s="214"/>
      <c r="K34" s="221"/>
      <c r="L34" s="224" t="s">
        <v>36</v>
      </c>
      <c r="M34" s="225"/>
      <c r="N34" s="225"/>
      <c r="O34" s="225"/>
      <c r="P34" s="214"/>
    </row>
    <row r="35" spans="3:16" s="213" customFormat="1" ht="18" customHeight="1" thickBot="1">
      <c r="C35" s="226" t="s">
        <v>37</v>
      </c>
      <c r="D35" s="227"/>
      <c r="E35" s="228"/>
      <c r="F35" s="228"/>
      <c r="G35" s="228"/>
      <c r="H35" s="229"/>
      <c r="I35" s="175"/>
      <c r="K35" s="221"/>
      <c r="L35" s="230" t="s">
        <v>38</v>
      </c>
      <c r="M35" s="231" t="s">
        <v>39</v>
      </c>
      <c r="N35" s="232" t="s">
        <v>30</v>
      </c>
      <c r="O35" s="230" t="s">
        <v>40</v>
      </c>
      <c r="P35" s="233"/>
    </row>
    <row r="36" spans="3:16" s="214" customFormat="1" ht="18" customHeight="1" thickTop="1">
      <c r="C36" s="234">
        <f>C34-1</f>
        <v>24</v>
      </c>
      <c r="D36" s="235">
        <f aca="true" t="shared" si="6" ref="D36:D45">50-C36</f>
        <v>26</v>
      </c>
      <c r="E36" s="236">
        <f aca="true" t="shared" si="7" ref="E36:E45">D36/50</f>
        <v>0.52</v>
      </c>
      <c r="F36" s="237">
        <f aca="true" t="shared" si="8" ref="F36:F45">G36*(D36/C36)^0.65</f>
        <v>3.042198843554576</v>
      </c>
      <c r="G36" s="238">
        <f aca="true" t="shared" si="9" ref="G36:G45">50^0.65/(50^0.65-D36^0.65)</f>
        <v>2.887967009820691</v>
      </c>
      <c r="H36" s="239">
        <f aca="true" t="shared" si="10" ref="H36:H45">G36*(D36/50)^0.65</f>
        <v>1.887967009820691</v>
      </c>
      <c r="I36" s="175"/>
      <c r="K36" s="176"/>
      <c r="L36" s="267">
        <f>O31</f>
        <v>677</v>
      </c>
      <c r="M36" s="269">
        <f>LOOKUP(50-L$31,$D$11:$D$45,$F$11:$F$45)</f>
        <v>0.6260549042902493</v>
      </c>
      <c r="N36" s="281">
        <f>L36*M36</f>
        <v>423.8391702044988</v>
      </c>
      <c r="O36" s="283">
        <f>N36/10</f>
        <v>42.383917020449886</v>
      </c>
      <c r="P36" s="175"/>
    </row>
    <row r="37" spans="3:16" s="214" customFormat="1" ht="18" customHeight="1" thickBot="1">
      <c r="C37" s="234">
        <f aca="true" t="shared" si="11" ref="C37:C45">C36-1</f>
        <v>23</v>
      </c>
      <c r="D37" s="235">
        <f t="shared" si="6"/>
        <v>27</v>
      </c>
      <c r="E37" s="236">
        <f t="shared" si="7"/>
        <v>0.54</v>
      </c>
      <c r="F37" s="237">
        <f t="shared" si="8"/>
        <v>3.3628781142294386</v>
      </c>
      <c r="G37" s="238">
        <f t="shared" si="9"/>
        <v>3.0300358962111735</v>
      </c>
      <c r="H37" s="239">
        <f t="shared" si="10"/>
        <v>2.0300358962111735</v>
      </c>
      <c r="I37" s="213"/>
      <c r="K37" s="215"/>
      <c r="L37" s="268"/>
      <c r="M37" s="270"/>
      <c r="N37" s="282"/>
      <c r="O37" s="284"/>
      <c r="P37" s="213"/>
    </row>
    <row r="38" spans="3:16" ht="18" customHeight="1">
      <c r="C38" s="234">
        <f t="shared" si="11"/>
        <v>22</v>
      </c>
      <c r="D38" s="235">
        <f t="shared" si="6"/>
        <v>28</v>
      </c>
      <c r="E38" s="236">
        <f t="shared" si="7"/>
        <v>0.56</v>
      </c>
      <c r="F38" s="237">
        <f t="shared" si="8"/>
        <v>3.72515358344264</v>
      </c>
      <c r="G38" s="238">
        <f t="shared" si="9"/>
        <v>3.184682966486298</v>
      </c>
      <c r="H38" s="239">
        <f t="shared" si="10"/>
        <v>2.184682966486298</v>
      </c>
      <c r="I38" s="214"/>
      <c r="K38" s="221"/>
      <c r="L38" s="248"/>
      <c r="M38" s="248"/>
      <c r="N38" s="248"/>
      <c r="O38" s="248"/>
      <c r="P38" s="214"/>
    </row>
    <row r="39" spans="3:16" ht="18" customHeight="1" thickBot="1">
      <c r="C39" s="234">
        <f t="shared" si="11"/>
        <v>21</v>
      </c>
      <c r="D39" s="235">
        <f t="shared" si="6"/>
        <v>29</v>
      </c>
      <c r="E39" s="236">
        <f t="shared" si="7"/>
        <v>0.58</v>
      </c>
      <c r="F39" s="237">
        <f t="shared" si="8"/>
        <v>4.136599034207146</v>
      </c>
      <c r="G39" s="238">
        <f t="shared" si="9"/>
        <v>3.353723616753981</v>
      </c>
      <c r="H39" s="239">
        <f t="shared" si="10"/>
        <v>2.35372361675398</v>
      </c>
      <c r="I39" s="214"/>
      <c r="K39" s="221"/>
      <c r="L39" s="224" t="s">
        <v>41</v>
      </c>
      <c r="M39" s="225"/>
      <c r="N39" s="225"/>
      <c r="O39" s="225"/>
      <c r="P39" s="214"/>
    </row>
    <row r="40" spans="3:15" ht="18" customHeight="1" thickBot="1">
      <c r="C40" s="234">
        <f t="shared" si="11"/>
        <v>20</v>
      </c>
      <c r="D40" s="235">
        <f t="shared" si="6"/>
        <v>30</v>
      </c>
      <c r="E40" s="236">
        <f t="shared" si="7"/>
        <v>0.6</v>
      </c>
      <c r="F40" s="237">
        <f t="shared" si="8"/>
        <v>4.606604747315162</v>
      </c>
      <c r="G40" s="238">
        <f t="shared" si="9"/>
        <v>3.5393346873723996</v>
      </c>
      <c r="H40" s="239">
        <f t="shared" si="10"/>
        <v>2.539334687372399</v>
      </c>
      <c r="L40" s="230" t="s">
        <v>38</v>
      </c>
      <c r="M40" s="231" t="s">
        <v>39</v>
      </c>
      <c r="N40" s="232" t="s">
        <v>30</v>
      </c>
      <c r="O40" s="230" t="s">
        <v>40</v>
      </c>
    </row>
    <row r="41" spans="3:16" ht="18" customHeight="1">
      <c r="C41" s="234">
        <f t="shared" si="11"/>
        <v>19</v>
      </c>
      <c r="D41" s="235">
        <f t="shared" si="6"/>
        <v>31</v>
      </c>
      <c r="E41" s="236">
        <f t="shared" si="7"/>
        <v>0.62</v>
      </c>
      <c r="F41" s="237">
        <f t="shared" si="8"/>
        <v>5.146932512496424</v>
      </c>
      <c r="G41" s="238">
        <f t="shared" si="9"/>
        <v>3.7441497761164655</v>
      </c>
      <c r="H41" s="239">
        <f t="shared" si="10"/>
        <v>2.7441497761164655</v>
      </c>
      <c r="K41" s="215"/>
      <c r="L41" s="275">
        <f>O31</f>
        <v>677</v>
      </c>
      <c r="M41" s="269">
        <f>LOOKUP(50-L$31,$D$11:$D$45,$G$11:$G$45)</f>
        <v>1.5415279957282535</v>
      </c>
      <c r="N41" s="281">
        <f>M41*L41</f>
        <v>1043.6144531080276</v>
      </c>
      <c r="O41" s="283">
        <f>N41/10</f>
        <v>104.36144531080276</v>
      </c>
      <c r="P41" s="213"/>
    </row>
    <row r="42" spans="3:16" ht="18" customHeight="1" thickBot="1">
      <c r="C42" s="234">
        <f t="shared" si="11"/>
        <v>18</v>
      </c>
      <c r="D42" s="235">
        <f t="shared" si="6"/>
        <v>32</v>
      </c>
      <c r="E42" s="236">
        <f t="shared" si="7"/>
        <v>0.64</v>
      </c>
      <c r="F42" s="237">
        <f t="shared" si="8"/>
        <v>5.772480707550797</v>
      </c>
      <c r="G42" s="238">
        <f t="shared" si="9"/>
        <v>3.971386292943718</v>
      </c>
      <c r="H42" s="239">
        <f t="shared" si="10"/>
        <v>2.9713862929437167</v>
      </c>
      <c r="K42" s="221"/>
      <c r="L42" s="276"/>
      <c r="M42" s="270"/>
      <c r="N42" s="282"/>
      <c r="O42" s="284"/>
      <c r="P42" s="214"/>
    </row>
    <row r="43" spans="3:16" ht="18" customHeight="1">
      <c r="C43" s="234">
        <f t="shared" si="11"/>
        <v>17</v>
      </c>
      <c r="D43" s="235">
        <f t="shared" si="6"/>
        <v>33</v>
      </c>
      <c r="E43" s="236">
        <f t="shared" si="7"/>
        <v>0.66</v>
      </c>
      <c r="F43" s="237">
        <f t="shared" si="8"/>
        <v>6.502356204993091</v>
      </c>
      <c r="G43" s="238">
        <f t="shared" si="9"/>
        <v>4.225017331690704</v>
      </c>
      <c r="H43" s="239">
        <f t="shared" si="10"/>
        <v>3.2250173316907036</v>
      </c>
      <c r="K43" s="221"/>
      <c r="P43" s="214"/>
    </row>
    <row r="44" spans="3:15" ht="17.25" customHeight="1" thickBot="1">
      <c r="C44" s="234">
        <f t="shared" si="11"/>
        <v>16</v>
      </c>
      <c r="D44" s="235">
        <f t="shared" si="6"/>
        <v>34</v>
      </c>
      <c r="E44" s="236">
        <f t="shared" si="7"/>
        <v>0.68</v>
      </c>
      <c r="F44" s="237">
        <f t="shared" si="8"/>
        <v>7.361403388709782</v>
      </c>
      <c r="G44" s="238">
        <f t="shared" si="9"/>
        <v>4.510007970614272</v>
      </c>
      <c r="H44" s="239">
        <f t="shared" si="10"/>
        <v>3.5100079706142724</v>
      </c>
      <c r="L44" s="224" t="s">
        <v>42</v>
      </c>
      <c r="M44" s="225"/>
      <c r="N44" s="225"/>
      <c r="O44" s="225"/>
    </row>
    <row r="45" spans="3:15" ht="17.25" customHeight="1" thickBot="1">
      <c r="C45" s="240">
        <f t="shared" si="11"/>
        <v>15</v>
      </c>
      <c r="D45" s="241">
        <f t="shared" si="6"/>
        <v>35</v>
      </c>
      <c r="E45" s="242">
        <f t="shared" si="7"/>
        <v>0.7</v>
      </c>
      <c r="F45" s="243">
        <f t="shared" si="8"/>
        <v>8.382429324423786</v>
      </c>
      <c r="G45" s="244">
        <f t="shared" si="9"/>
        <v>4.832646072476064</v>
      </c>
      <c r="H45" s="245">
        <f t="shared" si="10"/>
        <v>3.8326460724760643</v>
      </c>
      <c r="L45" s="230" t="s">
        <v>38</v>
      </c>
      <c r="M45" s="231" t="s">
        <v>39</v>
      </c>
      <c r="N45" s="265" t="s">
        <v>43</v>
      </c>
      <c r="O45" s="266"/>
    </row>
    <row r="46" spans="3:15" ht="12" customHeight="1">
      <c r="C46" s="246" t="s">
        <v>44</v>
      </c>
      <c r="L46" s="267">
        <f>O31</f>
        <v>677</v>
      </c>
      <c r="M46" s="269">
        <f>LOOKUP(50-L$31,$D$11:$D$45,$H$11:$H$45)</f>
        <v>0.5415279957282534</v>
      </c>
      <c r="N46" s="271">
        <f>L46*M46</f>
        <v>366.61445310802753</v>
      </c>
      <c r="O46" s="272"/>
    </row>
    <row r="47" spans="12:15" ht="30" customHeight="1" thickBot="1">
      <c r="L47" s="268"/>
      <c r="M47" s="270"/>
      <c r="N47" s="273"/>
      <c r="O47" s="274"/>
    </row>
    <row r="49" ht="13.5" thickBot="1"/>
    <row r="50" spans="12:15" ht="12.75">
      <c r="L50" s="249" t="s">
        <v>45</v>
      </c>
      <c r="M50" s="250"/>
      <c r="N50" s="255">
        <f>N46/M31</f>
        <v>0.1578193943641961</v>
      </c>
      <c r="O50" s="256"/>
    </row>
    <row r="51" spans="12:15" ht="12.75">
      <c r="L51" s="251"/>
      <c r="M51" s="252"/>
      <c r="N51" s="257"/>
      <c r="O51" s="258"/>
    </row>
    <row r="52" spans="12:15" ht="12.75">
      <c r="L52" s="251"/>
      <c r="M52" s="252"/>
      <c r="N52" s="257"/>
      <c r="O52" s="258"/>
    </row>
    <row r="53" spans="12:15" ht="12.75">
      <c r="L53" s="251"/>
      <c r="M53" s="252"/>
      <c r="N53" s="257"/>
      <c r="O53" s="258"/>
    </row>
    <row r="54" spans="12:15" ht="13.5" thickBot="1">
      <c r="L54" s="253"/>
      <c r="M54" s="254"/>
      <c r="N54" s="259"/>
      <c r="O54" s="260"/>
    </row>
    <row r="55" ht="12.75">
      <c r="O55" s="247">
        <v>38764</v>
      </c>
    </row>
  </sheetData>
  <sheetProtection sheet="1" objects="1" scenarios="1"/>
  <mergeCells count="20">
    <mergeCell ref="L31:L32"/>
    <mergeCell ref="M31:M32"/>
    <mergeCell ref="N31:N32"/>
    <mergeCell ref="O31:O32"/>
    <mergeCell ref="N41:N42"/>
    <mergeCell ref="O41:O42"/>
    <mergeCell ref="L36:L37"/>
    <mergeCell ref="M36:M37"/>
    <mergeCell ref="N36:N37"/>
    <mergeCell ref="O36:O37"/>
    <mergeCell ref="L50:M54"/>
    <mergeCell ref="N50:O54"/>
    <mergeCell ref="B11:B14"/>
    <mergeCell ref="B3:O3"/>
    <mergeCell ref="N45:O45"/>
    <mergeCell ref="L46:L47"/>
    <mergeCell ref="M46:M47"/>
    <mergeCell ref="N46:O47"/>
    <mergeCell ref="L41:L42"/>
    <mergeCell ref="M41:M42"/>
  </mergeCells>
  <printOptions/>
  <pageMargins left="0.18" right="0.26" top="0.29" bottom="0.31" header="0.19" footer="0.27"/>
  <pageSetup fitToHeight="1" fitToWidth="1" horizontalDpi="600" verticalDpi="600" orientation="landscape" scale="61" r:id="rId2"/>
  <colBreaks count="1" manualBreakCount="1">
    <brk id="15" min="5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BP96"/>
  <sheetViews>
    <sheetView showGridLines="0" tabSelected="1" zoomScaleSheetLayoutView="75" zoomScalePageLayoutView="0" workbookViewId="0" topLeftCell="A45">
      <pane ySplit="3" topLeftCell="A56" activePane="bottomLeft" state="frozen"/>
      <selection pane="topLeft" activeCell="AI45" sqref="AI45"/>
      <selection pane="bottomLeft" activeCell="AX62" sqref="AX62"/>
    </sheetView>
  </sheetViews>
  <sheetFormatPr defaultColWidth="8.8515625" defaultRowHeight="12.75"/>
  <cols>
    <col min="1" max="10" width="0" style="0" hidden="1" customWidth="1"/>
    <col min="11" max="33" width="4.421875" style="0" hidden="1" customWidth="1"/>
    <col min="34" max="34" width="0" style="0" hidden="1" customWidth="1"/>
    <col min="35" max="35" width="5.140625" style="0" customWidth="1"/>
    <col min="36" max="36" width="6.421875" style="0" customWidth="1"/>
    <col min="37" max="37" width="6.7109375" style="0" customWidth="1"/>
    <col min="38" max="60" width="4.7109375" style="0" customWidth="1"/>
    <col min="61" max="61" width="6.8515625" style="0" customWidth="1"/>
    <col min="62" max="62" width="2.421875" style="0" customWidth="1"/>
    <col min="63" max="63" width="15.8515625" style="0" customWidth="1"/>
    <col min="64" max="64" width="2.28125" style="0" customWidth="1"/>
    <col min="65" max="65" width="9.140625" style="0" customWidth="1"/>
  </cols>
  <sheetData>
    <row r="1" ht="12.75" hidden="1"/>
    <row r="2" spans="2:10" ht="12.75" hidden="1">
      <c r="B2" s="3"/>
      <c r="I2" s="1"/>
      <c r="J2" s="1"/>
    </row>
    <row r="3" ht="18.75" hidden="1" thickBot="1">
      <c r="B3" s="4" t="s">
        <v>46</v>
      </c>
    </row>
    <row r="4" spans="2:7" s="1" customFormat="1" ht="13.5" hidden="1" thickBot="1">
      <c r="B4" s="5" t="s">
        <v>9</v>
      </c>
      <c r="C4" s="6"/>
      <c r="E4" s="5" t="s">
        <v>47</v>
      </c>
      <c r="F4" s="7"/>
      <c r="G4" s="6"/>
    </row>
    <row r="5" spans="2:7" ht="13.5" hidden="1" thickBot="1">
      <c r="B5" s="8" t="s">
        <v>48</v>
      </c>
      <c r="C5" s="9" t="s">
        <v>49</v>
      </c>
      <c r="D5" s="10" t="s">
        <v>13</v>
      </c>
      <c r="E5" s="8" t="s">
        <v>14</v>
      </c>
      <c r="F5" s="11" t="s">
        <v>15</v>
      </c>
      <c r="G5" s="9" t="s">
        <v>16</v>
      </c>
    </row>
    <row r="6" spans="2:7" ht="12.75" hidden="1">
      <c r="B6" s="12">
        <v>49</v>
      </c>
      <c r="C6" s="13">
        <f aca="true" t="shared" si="0" ref="C6:C39">50-B6</f>
        <v>1</v>
      </c>
      <c r="D6" s="14">
        <f aca="true" t="shared" si="1" ref="D6:D39">C6/50</f>
        <v>0.02</v>
      </c>
      <c r="E6" s="15">
        <f aca="true" t="shared" si="2" ref="E6:E39">50^ni*1.06*C6^ne*(B6-10)^0.5/(B6^ni*(C6+10)^ne-(B6-10)^ni*C6^ne)</f>
        <v>1.7241264419250453</v>
      </c>
      <c r="F6" s="16">
        <f aca="true" t="shared" si="3" ref="F6:F39">E6*B6^ni/C6^ne</f>
        <v>21.63697605440184</v>
      </c>
      <c r="G6" s="17">
        <f aca="true" t="shared" si="4" ref="G6:G39">E6*(B6/50)^ni</f>
        <v>1.701633635988483</v>
      </c>
    </row>
    <row r="7" spans="2:7" ht="12.75" hidden="1">
      <c r="B7" s="18">
        <f aca="true" t="shared" si="5" ref="B7:B39">B6-1</f>
        <v>48</v>
      </c>
      <c r="C7" s="19">
        <f t="shared" si="0"/>
        <v>2</v>
      </c>
      <c r="D7" s="20">
        <f t="shared" si="1"/>
        <v>0.04</v>
      </c>
      <c r="E7" s="21">
        <f t="shared" si="2"/>
        <v>2.860590559455915</v>
      </c>
      <c r="F7" s="22">
        <f t="shared" si="3"/>
        <v>22.573193694343438</v>
      </c>
      <c r="G7" s="23">
        <f t="shared" si="4"/>
        <v>2.7856849798295378</v>
      </c>
    </row>
    <row r="8" spans="2:7" ht="12.75" hidden="1">
      <c r="B8" s="24">
        <f t="shared" si="5"/>
        <v>47</v>
      </c>
      <c r="C8" s="25">
        <f t="shared" si="0"/>
        <v>3</v>
      </c>
      <c r="D8" s="26">
        <f t="shared" si="1"/>
        <v>0.06</v>
      </c>
      <c r="E8" s="27">
        <f t="shared" si="2"/>
        <v>3.8625482549278685</v>
      </c>
      <c r="F8" s="28">
        <f t="shared" si="3"/>
        <v>23.09982608723542</v>
      </c>
      <c r="G8" s="29">
        <f t="shared" si="4"/>
        <v>3.710282884538512</v>
      </c>
    </row>
    <row r="9" spans="2:7" ht="12.75" hidden="1">
      <c r="B9" s="18">
        <f t="shared" si="5"/>
        <v>46</v>
      </c>
      <c r="C9" s="19">
        <f t="shared" si="0"/>
        <v>4</v>
      </c>
      <c r="D9" s="20">
        <f t="shared" si="1"/>
        <v>0.08</v>
      </c>
      <c r="E9" s="21">
        <f t="shared" si="2"/>
        <v>4.7792393384569705</v>
      </c>
      <c r="F9" s="22">
        <f t="shared" si="3"/>
        <v>23.378270331442458</v>
      </c>
      <c r="G9" s="23">
        <f t="shared" si="4"/>
        <v>4.5271081303248835</v>
      </c>
    </row>
    <row r="10" spans="2:7" ht="12.75" hidden="1">
      <c r="B10" s="24">
        <f t="shared" si="5"/>
        <v>45</v>
      </c>
      <c r="C10" s="25">
        <f t="shared" si="0"/>
        <v>5</v>
      </c>
      <c r="D10" s="26">
        <f t="shared" si="1"/>
        <v>0.1</v>
      </c>
      <c r="E10" s="27">
        <f t="shared" si="2"/>
        <v>5.6288846530375105</v>
      </c>
      <c r="F10" s="28">
        <f t="shared" si="3"/>
        <v>23.479020787622336</v>
      </c>
      <c r="G10" s="29">
        <f t="shared" si="4"/>
        <v>5.256298015013559</v>
      </c>
    </row>
    <row r="11" spans="2:7" ht="12.75" hidden="1">
      <c r="B11" s="18">
        <f t="shared" si="5"/>
        <v>44</v>
      </c>
      <c r="C11" s="19">
        <f t="shared" si="0"/>
        <v>6</v>
      </c>
      <c r="D11" s="20">
        <f t="shared" si="1"/>
        <v>0.12</v>
      </c>
      <c r="E11" s="21">
        <f t="shared" si="2"/>
        <v>6.4202348583677535</v>
      </c>
      <c r="F11" s="22">
        <f t="shared" si="3"/>
        <v>23.442117704468625</v>
      </c>
      <c r="G11" s="23">
        <f t="shared" si="4"/>
        <v>5.908328749068261</v>
      </c>
    </row>
    <row r="12" spans="2:7" ht="12.75" hidden="1">
      <c r="B12" s="24">
        <f t="shared" si="5"/>
        <v>43</v>
      </c>
      <c r="C12" s="25">
        <f t="shared" si="0"/>
        <v>7</v>
      </c>
      <c r="D12" s="26">
        <f t="shared" si="1"/>
        <v>0.14</v>
      </c>
      <c r="E12" s="27">
        <f t="shared" si="2"/>
        <v>7.1580812547910755</v>
      </c>
      <c r="F12" s="28">
        <f t="shared" si="3"/>
        <v>23.293641869596218</v>
      </c>
      <c r="G12" s="29">
        <f t="shared" si="4"/>
        <v>6.4896401708953535</v>
      </c>
    </row>
    <row r="13" spans="2:7" ht="12.75" hidden="1">
      <c r="B13" s="18">
        <f t="shared" si="5"/>
        <v>42</v>
      </c>
      <c r="C13" s="19">
        <f t="shared" si="0"/>
        <v>8</v>
      </c>
      <c r="D13" s="20">
        <f t="shared" si="1"/>
        <v>0.16</v>
      </c>
      <c r="E13" s="21">
        <f t="shared" si="2"/>
        <v>7.845250431344305</v>
      </c>
      <c r="F13" s="22">
        <f t="shared" si="3"/>
        <v>23.052092768539023</v>
      </c>
      <c r="G13" s="23">
        <f t="shared" si="4"/>
        <v>7.004680766008273</v>
      </c>
    </row>
    <row r="14" spans="2:7" ht="12.75" hidden="1">
      <c r="B14" s="24">
        <f t="shared" si="5"/>
        <v>41</v>
      </c>
      <c r="C14" s="25">
        <f t="shared" si="0"/>
        <v>9</v>
      </c>
      <c r="D14" s="26">
        <f t="shared" si="1"/>
        <v>0.18</v>
      </c>
      <c r="E14" s="27">
        <f t="shared" si="2"/>
        <v>8.483478192380913</v>
      </c>
      <c r="F14" s="28">
        <f t="shared" si="3"/>
        <v>22.73138111971616</v>
      </c>
      <c r="G14" s="29">
        <f t="shared" si="4"/>
        <v>7.45680784433424</v>
      </c>
    </row>
    <row r="15" spans="2:7" ht="12.75" hidden="1">
      <c r="B15" s="18">
        <f t="shared" si="5"/>
        <v>40</v>
      </c>
      <c r="C15" s="19">
        <f t="shared" si="0"/>
        <v>10</v>
      </c>
      <c r="D15" s="20">
        <f t="shared" si="1"/>
        <v>0.2</v>
      </c>
      <c r="E15" s="21">
        <f t="shared" si="2"/>
        <v>9.073843023116135</v>
      </c>
      <c r="F15" s="22">
        <f t="shared" si="3"/>
        <v>22.34242229095635</v>
      </c>
      <c r="G15" s="23">
        <f t="shared" si="4"/>
        <v>7.848736575958176</v>
      </c>
    </row>
    <row r="16" spans="2:7" ht="12.75" hidden="1">
      <c r="B16" s="24">
        <f t="shared" si="5"/>
        <v>39</v>
      </c>
      <c r="C16" s="25">
        <f t="shared" si="0"/>
        <v>11</v>
      </c>
      <c r="D16" s="26">
        <f t="shared" si="1"/>
        <v>0.22</v>
      </c>
      <c r="E16" s="27">
        <f t="shared" si="2"/>
        <v>9.617000720013635</v>
      </c>
      <c r="F16" s="28">
        <f t="shared" si="3"/>
        <v>21.894064731505186</v>
      </c>
      <c r="G16" s="29">
        <f t="shared" si="4"/>
        <v>8.182784998672153</v>
      </c>
    </row>
    <row r="17" spans="2:7" ht="12.75" hidden="1">
      <c r="B17" s="18">
        <f t="shared" si="5"/>
        <v>38</v>
      </c>
      <c r="C17" s="19">
        <f t="shared" si="0"/>
        <v>12</v>
      </c>
      <c r="D17" s="20">
        <f t="shared" si="1"/>
        <v>0.24</v>
      </c>
      <c r="E17" s="21">
        <f t="shared" si="2"/>
        <v>10.113319807475303</v>
      </c>
      <c r="F17" s="22">
        <f t="shared" si="3"/>
        <v>21.393668831981763</v>
      </c>
      <c r="G17" s="23">
        <f t="shared" si="4"/>
        <v>8.461017160402621</v>
      </c>
    </row>
    <row r="18" spans="2:7" ht="12.75" hidden="1">
      <c r="B18" s="24">
        <f t="shared" si="5"/>
        <v>37</v>
      </c>
      <c r="C18" s="25">
        <f t="shared" si="0"/>
        <v>13</v>
      </c>
      <c r="D18" s="26">
        <f t="shared" si="1"/>
        <v>0.26</v>
      </c>
      <c r="E18" s="27">
        <f t="shared" si="2"/>
        <v>10.562963489119756</v>
      </c>
      <c r="F18" s="28">
        <f t="shared" si="3"/>
        <v>20.84748741305532</v>
      </c>
      <c r="G18" s="29">
        <f t="shared" si="4"/>
        <v>8.68533144628781</v>
      </c>
    </row>
    <row r="19" spans="2:7" ht="12.75" hidden="1">
      <c r="B19" s="18">
        <f t="shared" si="5"/>
        <v>36</v>
      </c>
      <c r="C19" s="19">
        <f t="shared" si="0"/>
        <v>14</v>
      </c>
      <c r="D19" s="20">
        <f t="shared" si="1"/>
        <v>0.28</v>
      </c>
      <c r="E19" s="21">
        <f t="shared" si="2"/>
        <v>10.965940932930723</v>
      </c>
      <c r="F19" s="22">
        <f t="shared" si="3"/>
        <v>20.260926663163872</v>
      </c>
      <c r="G19" s="23">
        <f t="shared" si="4"/>
        <v>8.857517620203724</v>
      </c>
    </row>
    <row r="20" spans="2:7" ht="12.75" hidden="1">
      <c r="B20" s="24">
        <f t="shared" si="5"/>
        <v>35</v>
      </c>
      <c r="C20" s="25">
        <f t="shared" si="0"/>
        <v>15</v>
      </c>
      <c r="D20" s="26">
        <f t="shared" si="1"/>
        <v>0.3</v>
      </c>
      <c r="E20" s="27">
        <f t="shared" si="2"/>
        <v>11.322139999889703</v>
      </c>
      <c r="F20" s="28">
        <f t="shared" si="3"/>
        <v>19.63873143759526</v>
      </c>
      <c r="G20" s="29">
        <f t="shared" si="4"/>
        <v>8.97929514220935</v>
      </c>
    </row>
    <row r="21" spans="2:7" ht="12.75" hidden="1">
      <c r="B21" s="18">
        <f t="shared" si="5"/>
        <v>34</v>
      </c>
      <c r="C21" s="19">
        <f t="shared" si="0"/>
        <v>16</v>
      </c>
      <c r="D21" s="20">
        <f t="shared" si="1"/>
        <v>0.32</v>
      </c>
      <c r="E21" s="21">
        <f t="shared" si="2"/>
        <v>11.631348174887817</v>
      </c>
      <c r="F21" s="22">
        <f t="shared" si="3"/>
        <v>18.98512074208607</v>
      </c>
      <c r="G21" s="23">
        <f t="shared" si="4"/>
        <v>9.052339833733244</v>
      </c>
    </row>
    <row r="22" spans="2:7" ht="12.75" hidden="1">
      <c r="B22" s="24">
        <f t="shared" si="5"/>
        <v>33</v>
      </c>
      <c r="C22" s="25">
        <f t="shared" si="0"/>
        <v>17</v>
      </c>
      <c r="D22" s="26">
        <f t="shared" si="1"/>
        <v>0.34</v>
      </c>
      <c r="E22" s="27">
        <f t="shared" si="2"/>
        <v>11.893265612707781</v>
      </c>
      <c r="F22" s="28">
        <f t="shared" si="3"/>
        <v>18.303889282147615</v>
      </c>
      <c r="G22" s="29">
        <f t="shared" si="4"/>
        <v>9.078303050661079</v>
      </c>
    </row>
    <row r="23" spans="2:7" ht="12.75" hidden="1">
      <c r="B23" s="18">
        <f t="shared" si="5"/>
        <v>32</v>
      </c>
      <c r="C23" s="19">
        <f t="shared" si="0"/>
        <v>18</v>
      </c>
      <c r="D23" s="20">
        <f t="shared" si="1"/>
        <v>0.36</v>
      </c>
      <c r="E23" s="21">
        <f t="shared" si="2"/>
        <v>12.107512613024467</v>
      </c>
      <c r="F23" s="22">
        <f t="shared" si="3"/>
        <v>17.598485218950266</v>
      </c>
      <c r="G23" s="23">
        <f t="shared" si="4"/>
        <v>9.058825902659153</v>
      </c>
    </row>
    <row r="24" spans="2:7" ht="12.75" hidden="1">
      <c r="B24" s="24">
        <f t="shared" si="5"/>
        <v>31</v>
      </c>
      <c r="C24" s="25">
        <f t="shared" si="0"/>
        <v>19</v>
      </c>
      <c r="D24" s="26">
        <f t="shared" si="1"/>
        <v>0.38</v>
      </c>
      <c r="E24" s="27">
        <f t="shared" si="2"/>
        <v>12.273632889476128</v>
      </c>
      <c r="F24" s="28">
        <f t="shared" si="3"/>
        <v>16.87207081518341</v>
      </c>
      <c r="G24" s="29">
        <f t="shared" si="4"/>
        <v>8.995550114110587</v>
      </c>
    </row>
    <row r="25" spans="2:7" ht="12.75" hidden="1">
      <c r="B25" s="18">
        <f t="shared" si="5"/>
        <v>30</v>
      </c>
      <c r="C25" s="19">
        <f t="shared" si="0"/>
        <v>20</v>
      </c>
      <c r="D25" s="20">
        <f t="shared" si="1"/>
        <v>0.4</v>
      </c>
      <c r="E25" s="21">
        <f t="shared" si="2"/>
        <v>12.391093397389053</v>
      </c>
      <c r="F25" s="22">
        <f t="shared" si="3"/>
        <v>16.12757049297725</v>
      </c>
      <c r="G25" s="23">
        <f t="shared" si="4"/>
        <v>8.890126551388908</v>
      </c>
    </row>
    <row r="26" spans="2:7" ht="12.75" hidden="1">
      <c r="B26" s="24">
        <f t="shared" si="5"/>
        <v>29</v>
      </c>
      <c r="C26" s="25">
        <f t="shared" si="0"/>
        <v>21</v>
      </c>
      <c r="D26" s="26">
        <f t="shared" si="1"/>
        <v>0.42</v>
      </c>
      <c r="E26" s="27">
        <f t="shared" si="2"/>
        <v>12.459281070470974</v>
      </c>
      <c r="F26" s="28">
        <f t="shared" si="3"/>
        <v>15.367709427680712</v>
      </c>
      <c r="G26" s="29">
        <f t="shared" si="4"/>
        <v>8.744222081045322</v>
      </c>
    </row>
    <row r="27" spans="2:7" ht="12.75" hidden="1">
      <c r="B27" s="18">
        <f t="shared" si="5"/>
        <v>28</v>
      </c>
      <c r="C27" s="19">
        <f t="shared" si="0"/>
        <v>22</v>
      </c>
      <c r="D27" s="20">
        <f t="shared" si="1"/>
        <v>0.44</v>
      </c>
      <c r="E27" s="21">
        <f t="shared" si="2"/>
        <v>12.47749649389039</v>
      </c>
      <c r="F27" s="22">
        <f t="shared" si="3"/>
        <v>14.595044864981148</v>
      </c>
      <c r="G27" s="23">
        <f t="shared" si="4"/>
        <v>8.559525183968457</v>
      </c>
    </row>
    <row r="28" spans="2:7" ht="12.75" hidden="1">
      <c r="B28" s="24">
        <f t="shared" si="5"/>
        <v>27</v>
      </c>
      <c r="C28" s="25">
        <f t="shared" si="0"/>
        <v>23</v>
      </c>
      <c r="D28" s="26">
        <f t="shared" si="1"/>
        <v>0.46</v>
      </c>
      <c r="E28" s="27">
        <f t="shared" si="2"/>
        <v>12.444944246401528</v>
      </c>
      <c r="F28" s="28">
        <f t="shared" si="3"/>
        <v>13.811991696653003</v>
      </c>
      <c r="G28" s="29">
        <f t="shared" si="4"/>
        <v>8.337750578510342</v>
      </c>
    </row>
    <row r="29" spans="2:7" ht="12.75" hidden="1">
      <c r="B29" s="18">
        <f t="shared" si="5"/>
        <v>26</v>
      </c>
      <c r="C29" s="19">
        <f t="shared" si="0"/>
        <v>24</v>
      </c>
      <c r="D29" s="20">
        <f t="shared" si="1"/>
        <v>0.48</v>
      </c>
      <c r="E29" s="21">
        <f t="shared" si="2"/>
        <v>12.360719325631035</v>
      </c>
      <c r="F29" s="22">
        <f t="shared" si="3"/>
        <v>13.020843351071443</v>
      </c>
      <c r="G29" s="23">
        <f t="shared" si="4"/>
        <v>8.080642966172036</v>
      </c>
    </row>
    <row r="30" spans="2:7" ht="12.75" hidden="1">
      <c r="B30" s="24">
        <f t="shared" si="5"/>
        <v>25</v>
      </c>
      <c r="C30" s="25">
        <f t="shared" si="0"/>
        <v>25</v>
      </c>
      <c r="D30" s="26">
        <f t="shared" si="1"/>
        <v>0.5</v>
      </c>
      <c r="E30" s="27">
        <f t="shared" si="2"/>
        <v>12.223788673015152</v>
      </c>
      <c r="F30" s="28">
        <f t="shared" si="3"/>
        <v>12.223788673015152</v>
      </c>
      <c r="G30" s="29">
        <f t="shared" si="4"/>
        <v>7.789979879648142</v>
      </c>
    </row>
    <row r="31" spans="2:7" ht="12.75" hidden="1">
      <c r="B31" s="18">
        <f t="shared" si="5"/>
        <v>24</v>
      </c>
      <c r="C31" s="19">
        <f t="shared" si="0"/>
        <v>26</v>
      </c>
      <c r="D31" s="20">
        <f t="shared" si="1"/>
        <v>0.52</v>
      </c>
      <c r="E31" s="21">
        <f t="shared" si="2"/>
        <v>12.032966264206589</v>
      </c>
      <c r="F31" s="22">
        <f t="shared" si="3"/>
        <v>11.422925123694515</v>
      </c>
      <c r="G31" s="23">
        <f t="shared" si="4"/>
        <v>7.467573457678165</v>
      </c>
    </row>
    <row r="32" spans="2:7" ht="11.25" customHeight="1" hidden="1">
      <c r="B32" s="24">
        <f t="shared" si="5"/>
        <v>23</v>
      </c>
      <c r="C32" s="25">
        <f t="shared" si="0"/>
        <v>27</v>
      </c>
      <c r="D32" s="26">
        <f t="shared" si="1"/>
        <v>0.54</v>
      </c>
      <c r="E32" s="27">
        <f t="shared" si="2"/>
        <v>11.786879412349288</v>
      </c>
      <c r="F32" s="28">
        <f t="shared" si="3"/>
        <v>10.620268267413664</v>
      </c>
      <c r="G32" s="29">
        <f t="shared" si="4"/>
        <v>7.115270758739429</v>
      </c>
    </row>
    <row r="33" spans="2:7" ht="12" customHeight="1" hidden="1">
      <c r="B33" s="18">
        <f t="shared" si="5"/>
        <v>22</v>
      </c>
      <c r="C33" s="19">
        <f t="shared" si="0"/>
        <v>28</v>
      </c>
      <c r="D33" s="20">
        <f t="shared" si="1"/>
        <v>0.56</v>
      </c>
      <c r="E33" s="21">
        <f t="shared" si="2"/>
        <v>11.483922651183697</v>
      </c>
      <c r="F33" s="22">
        <f t="shared" si="3"/>
        <v>9.817757049864205</v>
      </c>
      <c r="G33" s="23">
        <f t="shared" si="4"/>
        <v>6.734951899970034</v>
      </c>
    </row>
    <row r="34" spans="2:7" ht="12.75" hidden="1">
      <c r="B34" s="24">
        <f t="shared" si="5"/>
        <v>21</v>
      </c>
      <c r="C34" s="25">
        <f t="shared" si="0"/>
        <v>29</v>
      </c>
      <c r="D34" s="26">
        <f t="shared" si="1"/>
        <v>0.58</v>
      </c>
      <c r="E34" s="27">
        <f t="shared" si="2"/>
        <v>11.122193473455317</v>
      </c>
      <c r="F34" s="28">
        <f t="shared" si="3"/>
        <v>9.017253694056295</v>
      </c>
      <c r="G34" s="29">
        <f t="shared" si="4"/>
        <v>6.328524769284621</v>
      </c>
    </row>
    <row r="35" spans="2:7" ht="12.75" hidden="1">
      <c r="B35" s="18">
        <f t="shared" si="5"/>
        <v>20</v>
      </c>
      <c r="C35" s="19">
        <f t="shared" si="0"/>
        <v>30</v>
      </c>
      <c r="D35" s="20">
        <f t="shared" si="1"/>
        <v>0.6</v>
      </c>
      <c r="E35" s="21">
        <f t="shared" si="2"/>
        <v>10.699400637989687</v>
      </c>
      <c r="F35" s="22">
        <f t="shared" si="3"/>
        <v>8.22053592381723</v>
      </c>
      <c r="G35" s="23">
        <f t="shared" si="4"/>
        <v>5.897914117762445</v>
      </c>
    </row>
    <row r="36" spans="2:7" ht="12.75" hidden="1">
      <c r="B36" s="24">
        <f t="shared" si="5"/>
        <v>19</v>
      </c>
      <c r="C36" s="25">
        <f t="shared" si="0"/>
        <v>31</v>
      </c>
      <c r="D36" s="26">
        <f t="shared" si="1"/>
        <v>0.62</v>
      </c>
      <c r="E36" s="27">
        <f t="shared" si="2"/>
        <v>10.212729414047974</v>
      </c>
      <c r="F36" s="28">
        <f t="shared" si="3"/>
        <v>7.429277235772251</v>
      </c>
      <c r="G36" s="29">
        <f t="shared" si="4"/>
        <v>5.445041112750992</v>
      </c>
    </row>
    <row r="37" spans="2:7" ht="12.75" hidden="1">
      <c r="B37" s="18">
        <f t="shared" si="5"/>
        <v>18</v>
      </c>
      <c r="C37" s="19">
        <f t="shared" si="0"/>
        <v>32</v>
      </c>
      <c r="D37" s="20">
        <f t="shared" si="1"/>
        <v>0.64</v>
      </c>
      <c r="E37" s="21">
        <f t="shared" si="2"/>
        <v>9.658636239841341</v>
      </c>
      <c r="F37" s="22">
        <f t="shared" si="3"/>
        <v>6.645007149397699</v>
      </c>
      <c r="G37" s="23">
        <f t="shared" si="4"/>
        <v>4.971786097795538</v>
      </c>
    </row>
    <row r="38" spans="2:7" ht="12.75" hidden="1">
      <c r="B38" s="24">
        <f t="shared" si="5"/>
        <v>17</v>
      </c>
      <c r="C38" s="25">
        <f t="shared" si="0"/>
        <v>33</v>
      </c>
      <c r="D38" s="26">
        <f t="shared" si="1"/>
        <v>0.66</v>
      </c>
      <c r="E38" s="27">
        <f t="shared" si="2"/>
        <v>9.032521603117228</v>
      </c>
      <c r="F38" s="28">
        <f t="shared" si="3"/>
        <v>5.869035641685756</v>
      </c>
      <c r="G38" s="29">
        <f t="shared" si="4"/>
        <v>4.479920478142233</v>
      </c>
    </row>
    <row r="39" spans="2:7" ht="12.75" hidden="1">
      <c r="B39" s="18">
        <f t="shared" si="5"/>
        <v>16</v>
      </c>
      <c r="C39" s="19">
        <f t="shared" si="0"/>
        <v>34</v>
      </c>
      <c r="D39" s="20">
        <f t="shared" si="1"/>
        <v>0.68</v>
      </c>
      <c r="E39" s="21">
        <f t="shared" si="2"/>
        <v>8.328179273193914</v>
      </c>
      <c r="F39" s="22">
        <f t="shared" si="3"/>
        <v>5.102309019013318</v>
      </c>
      <c r="G39" s="23">
        <f t="shared" si="4"/>
        <v>3.970978641715033</v>
      </c>
    </row>
    <row r="40" ht="12.75" hidden="1">
      <c r="B40" s="30" t="s">
        <v>50</v>
      </c>
    </row>
    <row r="41" ht="12.75">
      <c r="B41" s="30" t="str">
        <f>"          hole type = orifice and int/ext exponents = ( "&amp;ni&amp;","&amp;ne&amp;")"</f>
        <v>          hole type = orifice and int/ext exponents = ( 0.65,0.65)</v>
      </c>
    </row>
    <row r="43" spans="36:61" ht="19.5" customHeight="1">
      <c r="AJ43" s="298" t="s">
        <v>51</v>
      </c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173" t="s">
        <v>5</v>
      </c>
    </row>
    <row r="44" spans="36:60" ht="16.5" customHeight="1" thickBot="1"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0:62" ht="24.75" customHeight="1" thickBot="1" thickTop="1">
      <c r="J45" s="32" t="s">
        <v>51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  <c r="AH45" s="35"/>
      <c r="AJ45" s="295" t="s">
        <v>52</v>
      </c>
      <c r="AK45" s="296"/>
      <c r="AL45" s="295" t="s">
        <v>53</v>
      </c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9"/>
      <c r="BI45" s="300" t="s">
        <v>54</v>
      </c>
      <c r="BJ45" s="36"/>
    </row>
    <row r="46" spans="10:62" ht="21" customHeight="1" thickBot="1">
      <c r="J46" s="37" t="s">
        <v>55</v>
      </c>
      <c r="K46" s="38" t="s">
        <v>56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35"/>
      <c r="AJ46" s="41" t="s">
        <v>55</v>
      </c>
      <c r="AK46" s="42"/>
      <c r="AL46" s="43">
        <v>44</v>
      </c>
      <c r="AM46" s="44">
        <v>42</v>
      </c>
      <c r="AN46" s="44">
        <v>40</v>
      </c>
      <c r="AO46" s="45">
        <v>38</v>
      </c>
      <c r="AP46" s="44">
        <v>36</v>
      </c>
      <c r="AQ46" s="44">
        <v>34</v>
      </c>
      <c r="AR46" s="44">
        <v>32</v>
      </c>
      <c r="AS46" s="44">
        <v>30</v>
      </c>
      <c r="AT46" s="45">
        <v>28</v>
      </c>
      <c r="AU46" s="44">
        <v>26</v>
      </c>
      <c r="AV46" s="44">
        <v>24</v>
      </c>
      <c r="AW46" s="44">
        <v>22</v>
      </c>
      <c r="AX46" s="44">
        <v>20</v>
      </c>
      <c r="AY46" s="45">
        <v>18</v>
      </c>
      <c r="AZ46" s="44">
        <v>16</v>
      </c>
      <c r="BA46" s="44">
        <v>14</v>
      </c>
      <c r="BB46" s="44">
        <v>12</v>
      </c>
      <c r="BC46" s="44">
        <v>10</v>
      </c>
      <c r="BD46" s="45">
        <v>8</v>
      </c>
      <c r="BE46" s="44">
        <v>6</v>
      </c>
      <c r="BF46" s="44">
        <v>4</v>
      </c>
      <c r="BG46" s="44">
        <v>2</v>
      </c>
      <c r="BH46" s="46">
        <v>0</v>
      </c>
      <c r="BI46" s="301"/>
      <c r="BJ46" s="36"/>
    </row>
    <row r="47" spans="10:63" ht="21" customHeight="1" thickBot="1">
      <c r="J47" s="37" t="s">
        <v>57</v>
      </c>
      <c r="K47" s="47">
        <v>44</v>
      </c>
      <c r="L47" s="47">
        <v>42</v>
      </c>
      <c r="M47" s="47">
        <v>40</v>
      </c>
      <c r="N47" s="47">
        <v>38</v>
      </c>
      <c r="O47" s="47">
        <v>36</v>
      </c>
      <c r="P47" s="47">
        <v>34</v>
      </c>
      <c r="Q47" s="47">
        <v>32</v>
      </c>
      <c r="R47" s="47">
        <v>30</v>
      </c>
      <c r="S47" s="47">
        <v>28</v>
      </c>
      <c r="T47" s="47">
        <v>26</v>
      </c>
      <c r="U47" s="47">
        <v>24</v>
      </c>
      <c r="V47" s="47">
        <v>22</v>
      </c>
      <c r="W47" s="47">
        <v>20</v>
      </c>
      <c r="X47" s="47">
        <v>18</v>
      </c>
      <c r="Y47" s="47">
        <v>16</v>
      </c>
      <c r="Z47" s="47">
        <v>14</v>
      </c>
      <c r="AA47" s="47">
        <v>12</v>
      </c>
      <c r="AB47" s="47">
        <v>10</v>
      </c>
      <c r="AC47" s="47">
        <v>8</v>
      </c>
      <c r="AD47" s="47">
        <v>6</v>
      </c>
      <c r="AE47" s="47">
        <v>4</v>
      </c>
      <c r="AF47" s="47">
        <v>2</v>
      </c>
      <c r="AG47" s="48">
        <v>0</v>
      </c>
      <c r="AH47" s="35"/>
      <c r="AJ47" s="49"/>
      <c r="AK47" s="50" t="s">
        <v>58</v>
      </c>
      <c r="AL47" s="51">
        <v>6</v>
      </c>
      <c r="AM47" s="52">
        <v>8</v>
      </c>
      <c r="AN47" s="52">
        <v>10</v>
      </c>
      <c r="AO47" s="53">
        <v>12</v>
      </c>
      <c r="AP47" s="52">
        <v>14</v>
      </c>
      <c r="AQ47" s="52">
        <v>16</v>
      </c>
      <c r="AR47" s="52">
        <v>18</v>
      </c>
      <c r="AS47" s="52">
        <v>20</v>
      </c>
      <c r="AT47" s="53">
        <v>22</v>
      </c>
      <c r="AU47" s="52">
        <v>24</v>
      </c>
      <c r="AV47" s="52">
        <v>26</v>
      </c>
      <c r="AW47" s="52">
        <v>28</v>
      </c>
      <c r="AX47" s="52">
        <v>30</v>
      </c>
      <c r="AY47" s="53">
        <v>32</v>
      </c>
      <c r="AZ47" s="52">
        <v>34</v>
      </c>
      <c r="BA47" s="52">
        <v>36</v>
      </c>
      <c r="BB47" s="52">
        <v>38</v>
      </c>
      <c r="BC47" s="52">
        <v>40</v>
      </c>
      <c r="BD47" s="53">
        <v>42</v>
      </c>
      <c r="BE47" s="52">
        <v>44</v>
      </c>
      <c r="BF47" s="52">
        <v>46</v>
      </c>
      <c r="BG47" s="52">
        <v>48</v>
      </c>
      <c r="BH47" s="54">
        <v>50</v>
      </c>
      <c r="BI47" s="302"/>
      <c r="BJ47" s="36"/>
      <c r="BK47" s="55" t="s">
        <v>59</v>
      </c>
    </row>
    <row r="48" spans="10:63" ht="14.25" thickBot="1" thickTop="1">
      <c r="J48" s="56">
        <v>50</v>
      </c>
      <c r="K48" s="57">
        <f aca="true" t="shared" si="6" ref="K48:AG48">(50-$J48)^ne/((50-K$47)^ne-(50-$J48)^ne)</f>
        <v>0</v>
      </c>
      <c r="L48" s="58">
        <f t="shared" si="6"/>
        <v>0</v>
      </c>
      <c r="M48" s="57">
        <f t="shared" si="6"/>
        <v>0</v>
      </c>
      <c r="N48" s="58">
        <f t="shared" si="6"/>
        <v>0</v>
      </c>
      <c r="O48" s="57">
        <f t="shared" si="6"/>
        <v>0</v>
      </c>
      <c r="P48" s="58">
        <f t="shared" si="6"/>
        <v>0</v>
      </c>
      <c r="Q48" s="57">
        <f t="shared" si="6"/>
        <v>0</v>
      </c>
      <c r="R48" s="58">
        <f t="shared" si="6"/>
        <v>0</v>
      </c>
      <c r="S48" s="57">
        <f t="shared" si="6"/>
        <v>0</v>
      </c>
      <c r="T48" s="58">
        <f t="shared" si="6"/>
        <v>0</v>
      </c>
      <c r="U48" s="57">
        <f t="shared" si="6"/>
        <v>0</v>
      </c>
      <c r="V48" s="58">
        <f t="shared" si="6"/>
        <v>0</v>
      </c>
      <c r="W48" s="57">
        <f t="shared" si="6"/>
        <v>0</v>
      </c>
      <c r="X48" s="58">
        <f t="shared" si="6"/>
        <v>0</v>
      </c>
      <c r="Y48" s="57">
        <f t="shared" si="6"/>
        <v>0</v>
      </c>
      <c r="Z48" s="58">
        <f t="shared" si="6"/>
        <v>0</v>
      </c>
      <c r="AA48" s="57">
        <f t="shared" si="6"/>
        <v>0</v>
      </c>
      <c r="AB48" s="58">
        <f t="shared" si="6"/>
        <v>0</v>
      </c>
      <c r="AC48" s="57">
        <f t="shared" si="6"/>
        <v>0</v>
      </c>
      <c r="AD48" s="58">
        <f t="shared" si="6"/>
        <v>0</v>
      </c>
      <c r="AE48" s="57">
        <f t="shared" si="6"/>
        <v>0</v>
      </c>
      <c r="AF48" s="58">
        <f t="shared" si="6"/>
        <v>0</v>
      </c>
      <c r="AG48" s="57">
        <f t="shared" si="6"/>
        <v>0</v>
      </c>
      <c r="AH48" s="59">
        <f aca="true" t="shared" si="7" ref="AH48:AH92">50-J48</f>
        <v>0</v>
      </c>
      <c r="AJ48" s="60">
        <v>50</v>
      </c>
      <c r="AK48" s="61">
        <v>0</v>
      </c>
      <c r="AL48" s="62">
        <f aca="true" t="shared" si="8" ref="AL48:BH48">(50-$J48)^ne/((50-AL$46)^ne-(50-$J48)^ne)</f>
        <v>0</v>
      </c>
      <c r="AM48" s="62">
        <f t="shared" si="8"/>
        <v>0</v>
      </c>
      <c r="AN48" s="62">
        <f t="shared" si="8"/>
        <v>0</v>
      </c>
      <c r="AO48" s="62">
        <f t="shared" si="8"/>
        <v>0</v>
      </c>
      <c r="AP48" s="62">
        <f t="shared" si="8"/>
        <v>0</v>
      </c>
      <c r="AQ48" s="62">
        <f t="shared" si="8"/>
        <v>0</v>
      </c>
      <c r="AR48" s="62">
        <f t="shared" si="8"/>
        <v>0</v>
      </c>
      <c r="AS48" s="62">
        <f t="shared" si="8"/>
        <v>0</v>
      </c>
      <c r="AT48" s="63">
        <f t="shared" si="8"/>
        <v>0</v>
      </c>
      <c r="AU48" s="62">
        <f t="shared" si="8"/>
        <v>0</v>
      </c>
      <c r="AV48" s="62">
        <f t="shared" si="8"/>
        <v>0</v>
      </c>
      <c r="AW48" s="62">
        <f t="shared" si="8"/>
        <v>0</v>
      </c>
      <c r="AX48" s="62">
        <f t="shared" si="8"/>
        <v>0</v>
      </c>
      <c r="AY48" s="63">
        <f t="shared" si="8"/>
        <v>0</v>
      </c>
      <c r="AZ48" s="62">
        <f t="shared" si="8"/>
        <v>0</v>
      </c>
      <c r="BA48" s="62">
        <f t="shared" si="8"/>
        <v>0</v>
      </c>
      <c r="BB48" s="62">
        <f t="shared" si="8"/>
        <v>0</v>
      </c>
      <c r="BC48" s="62">
        <f t="shared" si="8"/>
        <v>0</v>
      </c>
      <c r="BD48" s="63">
        <f t="shared" si="8"/>
        <v>0</v>
      </c>
      <c r="BE48" s="62">
        <f t="shared" si="8"/>
        <v>0</v>
      </c>
      <c r="BF48" s="62">
        <f t="shared" si="8"/>
        <v>0</v>
      </c>
      <c r="BG48" s="62">
        <f t="shared" si="8"/>
        <v>0</v>
      </c>
      <c r="BH48" s="64">
        <f t="shared" si="8"/>
        <v>0</v>
      </c>
      <c r="BI48" s="65">
        <v>0.1</v>
      </c>
      <c r="BJ48" s="36"/>
      <c r="BK48" s="290" t="s">
        <v>60</v>
      </c>
    </row>
    <row r="49" spans="5:63" ht="13.5" thickBot="1">
      <c r="E49" s="66" t="s">
        <v>61</v>
      </c>
      <c r="F49" s="67">
        <v>0.65</v>
      </c>
      <c r="J49" s="56">
        <f aca="true" t="shared" si="9" ref="J49:J92">J48-1</f>
        <v>49</v>
      </c>
      <c r="K49" s="68"/>
      <c r="L49" s="69">
        <f aca="true" t="shared" si="10" ref="L49:U50">(50-$J49)^ne/((50-L$47)^ne-(50-$J49)^ne)</f>
        <v>0.34919306354440277</v>
      </c>
      <c r="M49" s="68">
        <f t="shared" si="10"/>
        <v>0.28844745544362266</v>
      </c>
      <c r="N49" s="69">
        <f t="shared" si="10"/>
        <v>0.24821040883487666</v>
      </c>
      <c r="O49" s="68">
        <f t="shared" si="10"/>
        <v>0.219354631738714</v>
      </c>
      <c r="P49" s="69">
        <f t="shared" si="10"/>
        <v>0.1975165741009887</v>
      </c>
      <c r="Q49" s="68">
        <f t="shared" si="10"/>
        <v>0.18033408484251554</v>
      </c>
      <c r="R49" s="69">
        <f t="shared" si="10"/>
        <v>0.16641103535702795</v>
      </c>
      <c r="S49" s="68">
        <f t="shared" si="10"/>
        <v>0.15486631787774066</v>
      </c>
      <c r="T49" s="69">
        <f t="shared" si="10"/>
        <v>0.1451148049743476</v>
      </c>
      <c r="U49" s="68">
        <f t="shared" si="10"/>
        <v>0.1367517724118465</v>
      </c>
      <c r="V49" s="69">
        <f aca="true" t="shared" si="11" ref="V49:AG50">(50-$J49)^ne/((50-V$47)^ne-(50-$J49)^ne)</f>
        <v>0.12948779046255374</v>
      </c>
      <c r="W49" s="68">
        <f t="shared" si="11"/>
        <v>0.12311004688825516</v>
      </c>
      <c r="X49" s="69">
        <f t="shared" si="11"/>
        <v>0.11745833892463718</v>
      </c>
      <c r="Y49" s="68">
        <f t="shared" si="11"/>
        <v>0.11240960853387953</v>
      </c>
      <c r="Z49" s="69">
        <f t="shared" si="11"/>
        <v>0.10786766052226034</v>
      </c>
      <c r="AA49" s="68">
        <f t="shared" si="11"/>
        <v>0.10375613689095545</v>
      </c>
      <c r="AB49" s="69">
        <f t="shared" si="11"/>
        <v>0.10001360004746192</v>
      </c>
      <c r="AC49" s="68">
        <f t="shared" si="11"/>
        <v>0.09659001861618041</v>
      </c>
      <c r="AD49" s="69">
        <f t="shared" si="11"/>
        <v>0.09344420830297284</v>
      </c>
      <c r="AE49" s="68">
        <f t="shared" si="11"/>
        <v>0.09054193682400126</v>
      </c>
      <c r="AF49" s="69">
        <f t="shared" si="11"/>
        <v>0.0878544993087499</v>
      </c>
      <c r="AG49" s="68">
        <f t="shared" si="11"/>
        <v>0.08535763270445572</v>
      </c>
      <c r="AH49" s="70">
        <f t="shared" si="7"/>
        <v>1</v>
      </c>
      <c r="AJ49" s="71">
        <f aca="true" t="shared" si="12" ref="AJ49:AJ92">AJ48-1</f>
        <v>49</v>
      </c>
      <c r="AK49" s="72">
        <v>1</v>
      </c>
      <c r="AL49" s="73"/>
      <c r="AM49" s="62">
        <f aca="true" t="shared" si="13" ref="AM49:AV50">(50-$J49)^ne/((50-AM$46)^ne-(50-$J49)^ne)</f>
        <v>0.34919306354440277</v>
      </c>
      <c r="AN49" s="62">
        <f t="shared" si="13"/>
        <v>0.28844745544362266</v>
      </c>
      <c r="AO49" s="62">
        <f t="shared" si="13"/>
        <v>0.24821040883487666</v>
      </c>
      <c r="AP49" s="62">
        <f t="shared" si="13"/>
        <v>0.219354631738714</v>
      </c>
      <c r="AQ49" s="62">
        <f t="shared" si="13"/>
        <v>0.1975165741009887</v>
      </c>
      <c r="AR49" s="62">
        <f t="shared" si="13"/>
        <v>0.18033408484251554</v>
      </c>
      <c r="AS49" s="62">
        <f t="shared" si="13"/>
        <v>0.16641103535702795</v>
      </c>
      <c r="AT49" s="63">
        <f t="shared" si="13"/>
        <v>0.15486631787774066</v>
      </c>
      <c r="AU49" s="62">
        <f t="shared" si="13"/>
        <v>0.1451148049743476</v>
      </c>
      <c r="AV49" s="62">
        <f t="shared" si="13"/>
        <v>0.1367517724118465</v>
      </c>
      <c r="AW49" s="62">
        <f aca="true" t="shared" si="14" ref="AW49:BH50">(50-$J49)^ne/((50-AW$46)^ne-(50-$J49)^ne)</f>
        <v>0.12948779046255374</v>
      </c>
      <c r="AX49" s="62">
        <f t="shared" si="14"/>
        <v>0.12311004688825516</v>
      </c>
      <c r="AY49" s="63">
        <f t="shared" si="14"/>
        <v>0.11745833892463718</v>
      </c>
      <c r="AZ49" s="62">
        <f t="shared" si="14"/>
        <v>0.11240960853387953</v>
      </c>
      <c r="BA49" s="62">
        <f t="shared" si="14"/>
        <v>0.10786766052226034</v>
      </c>
      <c r="BB49" s="62">
        <f t="shared" si="14"/>
        <v>0.10375613689095545</v>
      </c>
      <c r="BC49" s="62">
        <f t="shared" si="14"/>
        <v>0.10001360004746192</v>
      </c>
      <c r="BD49" s="63">
        <f t="shared" si="14"/>
        <v>0.09659001861618041</v>
      </c>
      <c r="BE49" s="62">
        <f t="shared" si="14"/>
        <v>0.09344420830297284</v>
      </c>
      <c r="BF49" s="62">
        <f t="shared" si="14"/>
        <v>0.09054193682400126</v>
      </c>
      <c r="BG49" s="62">
        <f t="shared" si="14"/>
        <v>0.0878544993087499</v>
      </c>
      <c r="BH49" s="64">
        <f t="shared" si="14"/>
        <v>0.08535763270445572</v>
      </c>
      <c r="BI49" s="74">
        <v>0.15</v>
      </c>
      <c r="BJ49" s="36"/>
      <c r="BK49" s="291"/>
    </row>
    <row r="50" spans="5:63" ht="13.5" customHeight="1" thickBot="1">
      <c r="E50" s="66" t="s">
        <v>62</v>
      </c>
      <c r="F50" s="67">
        <v>0.65</v>
      </c>
      <c r="J50" s="56">
        <f t="shared" si="9"/>
        <v>48</v>
      </c>
      <c r="K50" s="57"/>
      <c r="L50" s="75">
        <f t="shared" si="10"/>
        <v>0.6838594275959077</v>
      </c>
      <c r="M50" s="57">
        <f t="shared" si="10"/>
        <v>0.5415279957282532</v>
      </c>
      <c r="N50" s="75">
        <f t="shared" si="10"/>
        <v>0.45355985411188415</v>
      </c>
      <c r="O50" s="57">
        <f t="shared" si="10"/>
        <v>0.39330878804769265</v>
      </c>
      <c r="P50" s="75">
        <f t="shared" si="10"/>
        <v>0.34919306354440277</v>
      </c>
      <c r="Q50" s="57">
        <f t="shared" si="10"/>
        <v>0.315341273063542</v>
      </c>
      <c r="R50" s="75">
        <f t="shared" si="10"/>
        <v>0.2884474554436227</v>
      </c>
      <c r="S50" s="57">
        <f t="shared" si="10"/>
        <v>0.2665021258998558</v>
      </c>
      <c r="T50" s="75">
        <f t="shared" si="10"/>
        <v>0.24821040883487658</v>
      </c>
      <c r="U50" s="57">
        <f t="shared" si="10"/>
        <v>0.23269856917206475</v>
      </c>
      <c r="V50" s="75">
        <f t="shared" si="11"/>
        <v>0.21935463173871397</v>
      </c>
      <c r="W50" s="57">
        <f t="shared" si="11"/>
        <v>0.2077365364220816</v>
      </c>
      <c r="X50" s="75">
        <f t="shared" si="11"/>
        <v>0.1975165741009886</v>
      </c>
      <c r="Y50" s="57">
        <f t="shared" si="11"/>
        <v>0.18844637692384614</v>
      </c>
      <c r="Z50" s="75">
        <f t="shared" si="11"/>
        <v>0.18033408484251554</v>
      </c>
      <c r="AA50" s="57">
        <f t="shared" si="11"/>
        <v>0.17302900493518808</v>
      </c>
      <c r="AB50" s="75">
        <f t="shared" si="11"/>
        <v>0.16641103535702795</v>
      </c>
      <c r="AC50" s="57">
        <f t="shared" si="11"/>
        <v>0.16038320708385512</v>
      </c>
      <c r="AD50" s="75">
        <f t="shared" si="11"/>
        <v>0.15486631787774066</v>
      </c>
      <c r="AE50" s="57">
        <f t="shared" si="11"/>
        <v>0.14979500199006823</v>
      </c>
      <c r="AF50" s="75">
        <f t="shared" si="11"/>
        <v>0.1451148049743476</v>
      </c>
      <c r="AG50" s="57">
        <f t="shared" si="11"/>
        <v>0.14077997488315813</v>
      </c>
      <c r="AH50" s="70">
        <f t="shared" si="7"/>
        <v>2</v>
      </c>
      <c r="AJ50" s="71">
        <f t="shared" si="12"/>
        <v>48</v>
      </c>
      <c r="AK50" s="72">
        <v>2</v>
      </c>
      <c r="AL50" s="76"/>
      <c r="AM50" s="62">
        <f t="shared" si="13"/>
        <v>0.6838594275959077</v>
      </c>
      <c r="AN50" s="62">
        <f t="shared" si="13"/>
        <v>0.5415279957282532</v>
      </c>
      <c r="AO50" s="62">
        <f t="shared" si="13"/>
        <v>0.45355985411188415</v>
      </c>
      <c r="AP50" s="62">
        <f t="shared" si="13"/>
        <v>0.39330878804769265</v>
      </c>
      <c r="AQ50" s="62">
        <f t="shared" si="13"/>
        <v>0.34919306354440277</v>
      </c>
      <c r="AR50" s="62">
        <f t="shared" si="13"/>
        <v>0.315341273063542</v>
      </c>
      <c r="AS50" s="62">
        <f t="shared" si="13"/>
        <v>0.2884474554436227</v>
      </c>
      <c r="AT50" s="63">
        <f t="shared" si="13"/>
        <v>0.2665021258998558</v>
      </c>
      <c r="AU50" s="62">
        <f t="shared" si="13"/>
        <v>0.24821040883487658</v>
      </c>
      <c r="AV50" s="62">
        <f t="shared" si="13"/>
        <v>0.23269856917206475</v>
      </c>
      <c r="AW50" s="62">
        <f t="shared" si="14"/>
        <v>0.21935463173871397</v>
      </c>
      <c r="AX50" s="62">
        <f t="shared" si="14"/>
        <v>0.2077365364220816</v>
      </c>
      <c r="AY50" s="63">
        <f t="shared" si="14"/>
        <v>0.1975165741009886</v>
      </c>
      <c r="AZ50" s="62">
        <f t="shared" si="14"/>
        <v>0.18844637692384614</v>
      </c>
      <c r="BA50" s="62">
        <f t="shared" si="14"/>
        <v>0.18033408484251554</v>
      </c>
      <c r="BB50" s="62">
        <f t="shared" si="14"/>
        <v>0.17302900493518808</v>
      </c>
      <c r="BC50" s="62">
        <f t="shared" si="14"/>
        <v>0.16641103535702795</v>
      </c>
      <c r="BD50" s="63">
        <f t="shared" si="14"/>
        <v>0.16038320708385512</v>
      </c>
      <c r="BE50" s="62">
        <f t="shared" si="14"/>
        <v>0.15486631787774066</v>
      </c>
      <c r="BF50" s="62">
        <f t="shared" si="14"/>
        <v>0.14979500199006823</v>
      </c>
      <c r="BG50" s="62">
        <f t="shared" si="14"/>
        <v>0.1451148049743476</v>
      </c>
      <c r="BH50" s="64">
        <f t="shared" si="14"/>
        <v>0.14077997488315813</v>
      </c>
      <c r="BI50" s="77">
        <v>0.2</v>
      </c>
      <c r="BJ50" s="36"/>
      <c r="BK50" s="292">
        <v>2400</v>
      </c>
    </row>
    <row r="51" spans="10:63" ht="13.5" customHeight="1" thickBot="1">
      <c r="J51" s="56">
        <f t="shared" si="9"/>
        <v>47</v>
      </c>
      <c r="K51" s="68"/>
      <c r="L51" s="69"/>
      <c r="M51" s="68">
        <f aca="true" t="shared" si="15" ref="M51:V52">(50-$J51)^ne/((50-M$47)^ne-(50-$J51)^ne)</f>
        <v>0.8423799245459316</v>
      </c>
      <c r="N51" s="69">
        <f t="shared" si="15"/>
        <v>0.6838594275959075</v>
      </c>
      <c r="O51" s="68">
        <f t="shared" si="15"/>
        <v>0.5807913576212659</v>
      </c>
      <c r="P51" s="69">
        <f t="shared" si="15"/>
        <v>0.507979637926959</v>
      </c>
      <c r="Q51" s="68">
        <f t="shared" si="15"/>
        <v>0.4535598541118843</v>
      </c>
      <c r="R51" s="69">
        <f t="shared" si="15"/>
        <v>0.4111930255883948</v>
      </c>
      <c r="S51" s="68">
        <f t="shared" si="15"/>
        <v>0.37717536399555296</v>
      </c>
      <c r="T51" s="69">
        <f t="shared" si="15"/>
        <v>0.3491930635444026</v>
      </c>
      <c r="U51" s="68">
        <f t="shared" si="15"/>
        <v>0.32572350133233685</v>
      </c>
      <c r="V51" s="69">
        <f t="shared" si="15"/>
        <v>0.3057221146488064</v>
      </c>
      <c r="W51" s="68">
        <f aca="true" t="shared" si="16" ref="W51:AG52">(50-$J51)^ne/((50-W$47)^ne-(50-$J51)^ne)</f>
        <v>0.28844745544362266</v>
      </c>
      <c r="X51" s="69">
        <f t="shared" si="16"/>
        <v>0.2733580500773215</v>
      </c>
      <c r="Y51" s="68">
        <f t="shared" si="16"/>
        <v>0.2600488230278954</v>
      </c>
      <c r="Z51" s="69">
        <f t="shared" si="16"/>
        <v>0.24821040883487672</v>
      </c>
      <c r="AA51" s="68">
        <f t="shared" si="16"/>
        <v>0.2376022629278107</v>
      </c>
      <c r="AB51" s="69">
        <f t="shared" si="16"/>
        <v>0.22803439132948805</v>
      </c>
      <c r="AC51" s="68">
        <f t="shared" si="16"/>
        <v>0.21935463173871395</v>
      </c>
      <c r="AD51" s="69">
        <f t="shared" si="16"/>
        <v>0.21143960782413543</v>
      </c>
      <c r="AE51" s="68">
        <f t="shared" si="16"/>
        <v>0.2041881725313962</v>
      </c>
      <c r="AF51" s="69">
        <f t="shared" si="16"/>
        <v>0.1975165741009886</v>
      </c>
      <c r="AG51" s="68">
        <f t="shared" si="16"/>
        <v>0.191354837282729</v>
      </c>
      <c r="AH51" s="70">
        <f t="shared" si="7"/>
        <v>3</v>
      </c>
      <c r="AJ51" s="71">
        <f t="shared" si="12"/>
        <v>47</v>
      </c>
      <c r="AK51" s="72">
        <v>3</v>
      </c>
      <c r="AL51" s="73"/>
      <c r="AM51" s="78"/>
      <c r="AN51" s="62">
        <f aca="true" t="shared" si="17" ref="AN51:AW52">(50-$J51)^ne/((50-AN$46)^ne-(50-$J51)^ne)</f>
        <v>0.8423799245459316</v>
      </c>
      <c r="AO51" s="79">
        <f t="shared" si="17"/>
        <v>0.6838594275959075</v>
      </c>
      <c r="AP51" s="79">
        <f t="shared" si="17"/>
        <v>0.5807913576212659</v>
      </c>
      <c r="AQ51" s="79">
        <f t="shared" si="17"/>
        <v>0.507979637926959</v>
      </c>
      <c r="AR51" s="79">
        <f t="shared" si="17"/>
        <v>0.4535598541118843</v>
      </c>
      <c r="AS51" s="79">
        <f t="shared" si="17"/>
        <v>0.4111930255883948</v>
      </c>
      <c r="AT51" s="80">
        <f t="shared" si="17"/>
        <v>0.37717536399555296</v>
      </c>
      <c r="AU51" s="79">
        <f t="shared" si="17"/>
        <v>0.3491930635444026</v>
      </c>
      <c r="AV51" s="79">
        <f t="shared" si="17"/>
        <v>0.32572350133233685</v>
      </c>
      <c r="AW51" s="79">
        <f t="shared" si="17"/>
        <v>0.3057221146488064</v>
      </c>
      <c r="AX51" s="79">
        <f aca="true" t="shared" si="18" ref="AX51:BH52">(50-$J51)^ne/((50-AX$46)^ne-(50-$J51)^ne)</f>
        <v>0.28844745544362266</v>
      </c>
      <c r="AY51" s="80">
        <f t="shared" si="18"/>
        <v>0.2733580500773215</v>
      </c>
      <c r="AZ51" s="79">
        <f t="shared" si="18"/>
        <v>0.2600488230278954</v>
      </c>
      <c r="BA51" s="79">
        <f t="shared" si="18"/>
        <v>0.24821040883487672</v>
      </c>
      <c r="BB51" s="79">
        <f t="shared" si="18"/>
        <v>0.2376022629278107</v>
      </c>
      <c r="BC51" s="79">
        <f t="shared" si="18"/>
        <v>0.22803439132948805</v>
      </c>
      <c r="BD51" s="80">
        <f t="shared" si="18"/>
        <v>0.21935463173871395</v>
      </c>
      <c r="BE51" s="79">
        <f t="shared" si="18"/>
        <v>0.21143960782413543</v>
      </c>
      <c r="BF51" s="79">
        <f t="shared" si="18"/>
        <v>0.2041881725313962</v>
      </c>
      <c r="BG51" s="79">
        <f t="shared" si="18"/>
        <v>0.1975165741009886</v>
      </c>
      <c r="BH51" s="81">
        <f t="shared" si="18"/>
        <v>0.191354837282729</v>
      </c>
      <c r="BI51" s="82">
        <v>0.25</v>
      </c>
      <c r="BJ51" s="36"/>
      <c r="BK51" s="293"/>
    </row>
    <row r="52" spans="10:63" ht="13.5" customHeight="1" thickBot="1">
      <c r="J52" s="56">
        <f t="shared" si="9"/>
        <v>46</v>
      </c>
      <c r="K52" s="57"/>
      <c r="L52" s="75"/>
      <c r="M52" s="57">
        <f t="shared" si="15"/>
        <v>1.2283516975245636</v>
      </c>
      <c r="N52" s="75">
        <f t="shared" si="15"/>
        <v>0.9593765139944067</v>
      </c>
      <c r="O52" s="57">
        <f t="shared" si="15"/>
        <v>0.7951744910586848</v>
      </c>
      <c r="P52" s="75">
        <f t="shared" si="15"/>
        <v>0.6838594275959076</v>
      </c>
      <c r="Q52" s="57">
        <f t="shared" si="15"/>
        <v>0.6030624937733672</v>
      </c>
      <c r="R52" s="75">
        <f t="shared" si="15"/>
        <v>0.541527995728253</v>
      </c>
      <c r="S52" s="57">
        <f t="shared" si="15"/>
        <v>0.4929612590122981</v>
      </c>
      <c r="T52" s="75">
        <f t="shared" si="15"/>
        <v>0.453559854111884</v>
      </c>
      <c r="U52" s="57">
        <f t="shared" si="15"/>
        <v>0.42088747805707216</v>
      </c>
      <c r="V52" s="75">
        <f t="shared" si="15"/>
        <v>0.39330878804769254</v>
      </c>
      <c r="W52" s="57">
        <f t="shared" si="16"/>
        <v>0.36968389126521195</v>
      </c>
      <c r="X52" s="75">
        <f t="shared" si="16"/>
        <v>0.34919306354440255</v>
      </c>
      <c r="Y52" s="57">
        <f t="shared" si="16"/>
        <v>0.33123114710723683</v>
      </c>
      <c r="Z52" s="75">
        <f t="shared" si="16"/>
        <v>0.31534127306354187</v>
      </c>
      <c r="AA52" s="57">
        <f t="shared" si="16"/>
        <v>0.3011717948754526</v>
      </c>
      <c r="AB52" s="75">
        <f t="shared" si="16"/>
        <v>0.28844745544362266</v>
      </c>
      <c r="AC52" s="57">
        <f t="shared" si="16"/>
        <v>0.27694957539348725</v>
      </c>
      <c r="AD52" s="75">
        <f t="shared" si="16"/>
        <v>0.2665021258998557</v>
      </c>
      <c r="AE52" s="57">
        <f t="shared" si="16"/>
        <v>0.2569617385045184</v>
      </c>
      <c r="AF52" s="75">
        <f t="shared" si="16"/>
        <v>0.24821040883487655</v>
      </c>
      <c r="AG52" s="57">
        <f t="shared" si="16"/>
        <v>0.24015008104150196</v>
      </c>
      <c r="AH52" s="70">
        <f t="shared" si="7"/>
        <v>4</v>
      </c>
      <c r="AJ52" s="71">
        <f t="shared" si="12"/>
        <v>46</v>
      </c>
      <c r="AK52" s="72">
        <v>4</v>
      </c>
      <c r="AL52" s="76"/>
      <c r="AM52" s="83"/>
      <c r="AN52" s="62">
        <f t="shared" si="17"/>
        <v>1.2283516975245636</v>
      </c>
      <c r="AO52" s="79">
        <f t="shared" si="17"/>
        <v>0.9593765139944067</v>
      </c>
      <c r="AP52" s="79">
        <f t="shared" si="17"/>
        <v>0.7951744910586848</v>
      </c>
      <c r="AQ52" s="79">
        <f t="shared" si="17"/>
        <v>0.6838594275959076</v>
      </c>
      <c r="AR52" s="79">
        <f t="shared" si="17"/>
        <v>0.6030624937733672</v>
      </c>
      <c r="AS52" s="84">
        <f t="shared" si="17"/>
        <v>0.541527995728253</v>
      </c>
      <c r="AT52" s="85">
        <f t="shared" si="17"/>
        <v>0.4929612590122981</v>
      </c>
      <c r="AU52" s="84">
        <f t="shared" si="17"/>
        <v>0.453559854111884</v>
      </c>
      <c r="AV52" s="84">
        <f t="shared" si="17"/>
        <v>0.42088747805707216</v>
      </c>
      <c r="AW52" s="84">
        <f t="shared" si="17"/>
        <v>0.39330878804769254</v>
      </c>
      <c r="AX52" s="84">
        <f t="shared" si="18"/>
        <v>0.36968389126521195</v>
      </c>
      <c r="AY52" s="85">
        <f t="shared" si="18"/>
        <v>0.34919306354440255</v>
      </c>
      <c r="AZ52" s="84">
        <f t="shared" si="18"/>
        <v>0.33123114710723683</v>
      </c>
      <c r="BA52" s="84">
        <f t="shared" si="18"/>
        <v>0.31534127306354187</v>
      </c>
      <c r="BB52" s="84">
        <f t="shared" si="18"/>
        <v>0.3011717948754526</v>
      </c>
      <c r="BC52" s="84">
        <f t="shared" si="18"/>
        <v>0.28844745544362266</v>
      </c>
      <c r="BD52" s="85">
        <f t="shared" si="18"/>
        <v>0.27694957539348725</v>
      </c>
      <c r="BE52" s="86">
        <f t="shared" si="18"/>
        <v>0.2665021258998557</v>
      </c>
      <c r="BF52" s="86">
        <f t="shared" si="18"/>
        <v>0.2569617385045184</v>
      </c>
      <c r="BG52" s="86">
        <f t="shared" si="18"/>
        <v>0.24821040883487655</v>
      </c>
      <c r="BH52" s="87">
        <f t="shared" si="18"/>
        <v>0.24015008104150196</v>
      </c>
      <c r="BI52" s="88" t="s">
        <v>63</v>
      </c>
      <c r="BJ52" s="36"/>
      <c r="BK52" s="290" t="s">
        <v>55</v>
      </c>
    </row>
    <row r="53" spans="10:63" ht="13.5" customHeight="1" thickBot="1">
      <c r="J53" s="56">
        <f t="shared" si="9"/>
        <v>45</v>
      </c>
      <c r="K53" s="68"/>
      <c r="L53" s="69"/>
      <c r="M53" s="68"/>
      <c r="N53" s="69">
        <f aca="true" t="shared" si="19" ref="N53:W54">(50-$J53)^ne/((50-N$47)^ne-(50-$J53)^ne)</f>
        <v>1.3044676185380066</v>
      </c>
      <c r="O53" s="68">
        <f t="shared" si="19"/>
        <v>1.0495631967541181</v>
      </c>
      <c r="P53" s="69">
        <f t="shared" si="19"/>
        <v>0.8850791266079197</v>
      </c>
      <c r="Q53" s="68">
        <f t="shared" si="19"/>
        <v>0.7696421007958599</v>
      </c>
      <c r="R53" s="69">
        <f t="shared" si="19"/>
        <v>0.6838594275959072</v>
      </c>
      <c r="S53" s="68">
        <f t="shared" si="19"/>
        <v>0.6174151157958403</v>
      </c>
      <c r="T53" s="69">
        <f t="shared" si="19"/>
        <v>0.5643064854556644</v>
      </c>
      <c r="U53" s="68">
        <f t="shared" si="19"/>
        <v>0.5207980940954033</v>
      </c>
      <c r="V53" s="69">
        <f t="shared" si="19"/>
        <v>0.48444072095902585</v>
      </c>
      <c r="W53" s="68">
        <f t="shared" si="19"/>
        <v>0.453559854111884</v>
      </c>
      <c r="X53" s="69">
        <f aca="true" t="shared" si="20" ref="X53:AG54">(50-$J53)^ne/((50-X$47)^ne-(50-$J53)^ne)</f>
        <v>0.42697069898569995</v>
      </c>
      <c r="Y53" s="68">
        <f t="shared" si="20"/>
        <v>0.40381061197766555</v>
      </c>
      <c r="Z53" s="69">
        <f t="shared" si="20"/>
        <v>0.3834360789528756</v>
      </c>
      <c r="AA53" s="68">
        <f t="shared" si="20"/>
        <v>0.36535694681431136</v>
      </c>
      <c r="AB53" s="69">
        <f t="shared" si="20"/>
        <v>0.34919306354440266</v>
      </c>
      <c r="AC53" s="68">
        <f t="shared" si="20"/>
        <v>0.33464488415033783</v>
      </c>
      <c r="AD53" s="69">
        <f t="shared" si="20"/>
        <v>0.32147305298725065</v>
      </c>
      <c r="AE53" s="68">
        <f t="shared" si="20"/>
        <v>0.3094839134069314</v>
      </c>
      <c r="AF53" s="69">
        <f t="shared" si="20"/>
        <v>0.2985190259161552</v>
      </c>
      <c r="AG53" s="68">
        <f t="shared" si="20"/>
        <v>0.28844745544362266</v>
      </c>
      <c r="AH53" s="70">
        <f t="shared" si="7"/>
        <v>5</v>
      </c>
      <c r="AJ53" s="60">
        <f t="shared" si="12"/>
        <v>45</v>
      </c>
      <c r="AK53" s="61">
        <v>5</v>
      </c>
      <c r="AL53" s="89"/>
      <c r="AM53" s="90"/>
      <c r="AN53" s="91"/>
      <c r="AO53" s="79">
        <f aca="true" t="shared" si="21" ref="AO53:AX54">(50-$J53)^ne/((50-AO$46)^ne-(50-$J53)^ne)</f>
        <v>1.3044676185380066</v>
      </c>
      <c r="AP53" s="79">
        <f t="shared" si="21"/>
        <v>1.0495631967541181</v>
      </c>
      <c r="AQ53" s="79">
        <f t="shared" si="21"/>
        <v>0.8850791266079197</v>
      </c>
      <c r="AR53" s="84">
        <f t="shared" si="21"/>
        <v>0.7696421007958599</v>
      </c>
      <c r="AS53" s="84">
        <f t="shared" si="21"/>
        <v>0.6838594275959072</v>
      </c>
      <c r="AT53" s="85">
        <f t="shared" si="21"/>
        <v>0.6174151157958403</v>
      </c>
      <c r="AU53" s="84">
        <f t="shared" si="21"/>
        <v>0.5643064854556644</v>
      </c>
      <c r="AV53" s="86">
        <f t="shared" si="21"/>
        <v>0.5207980940954033</v>
      </c>
      <c r="AW53" s="86">
        <f t="shared" si="21"/>
        <v>0.48444072095902585</v>
      </c>
      <c r="AX53" s="86">
        <f t="shared" si="21"/>
        <v>0.453559854111884</v>
      </c>
      <c r="AY53" s="92">
        <f aca="true" t="shared" si="22" ref="AY53:BH54">(50-$J53)^ne/((50-AY$46)^ne-(50-$J53)^ne)</f>
        <v>0.42697069898569995</v>
      </c>
      <c r="AZ53" s="86">
        <f t="shared" si="22"/>
        <v>0.40381061197766555</v>
      </c>
      <c r="BA53" s="86">
        <f t="shared" si="22"/>
        <v>0.3834360789528756</v>
      </c>
      <c r="BB53" s="86">
        <f t="shared" si="22"/>
        <v>0.36535694681431136</v>
      </c>
      <c r="BC53" s="86">
        <f t="shared" si="22"/>
        <v>0.34919306354440266</v>
      </c>
      <c r="BD53" s="92">
        <f t="shared" si="22"/>
        <v>0.33464488415033783</v>
      </c>
      <c r="BE53" s="86">
        <f t="shared" si="22"/>
        <v>0.32147305298725065</v>
      </c>
      <c r="BF53" s="86">
        <f t="shared" si="22"/>
        <v>0.3094839134069314</v>
      </c>
      <c r="BG53" s="86">
        <f t="shared" si="22"/>
        <v>0.2985190259161552</v>
      </c>
      <c r="BH53" s="87">
        <f t="shared" si="22"/>
        <v>0.28844745544362266</v>
      </c>
      <c r="BJ53" s="36"/>
      <c r="BK53" s="291"/>
    </row>
    <row r="54" spans="10:63" ht="13.5" thickBot="1">
      <c r="J54" s="56">
        <f t="shared" si="9"/>
        <v>44</v>
      </c>
      <c r="K54" s="57"/>
      <c r="L54" s="75"/>
      <c r="M54" s="57"/>
      <c r="N54" s="75">
        <f t="shared" si="19"/>
        <v>1.7569498917729538</v>
      </c>
      <c r="O54" s="57">
        <f t="shared" si="19"/>
        <v>1.3613918736656538</v>
      </c>
      <c r="P54" s="75">
        <f t="shared" si="19"/>
        <v>1.1213032524137918</v>
      </c>
      <c r="Q54" s="57">
        <f t="shared" si="19"/>
        <v>0.959376513994407</v>
      </c>
      <c r="R54" s="75">
        <f t="shared" si="19"/>
        <v>0.8423799245459315</v>
      </c>
      <c r="S54" s="57">
        <f t="shared" si="19"/>
        <v>0.7536402202046765</v>
      </c>
      <c r="T54" s="75">
        <f t="shared" si="19"/>
        <v>0.6838594275959071</v>
      </c>
      <c r="U54" s="57">
        <f t="shared" si="19"/>
        <v>0.6274362866308204</v>
      </c>
      <c r="V54" s="75">
        <f t="shared" si="19"/>
        <v>0.5807913576212657</v>
      </c>
      <c r="W54" s="57">
        <f t="shared" si="19"/>
        <v>0.541527995728253</v>
      </c>
      <c r="X54" s="75">
        <f t="shared" si="20"/>
        <v>0.5079796379269585</v>
      </c>
      <c r="Y54" s="57">
        <f t="shared" si="20"/>
        <v>0.4789505395326459</v>
      </c>
      <c r="Z54" s="75">
        <f t="shared" si="20"/>
        <v>0.45355985411188415</v>
      </c>
      <c r="AA54" s="57">
        <f t="shared" si="20"/>
        <v>0.4311439466698915</v>
      </c>
      <c r="AB54" s="75">
        <f t="shared" si="20"/>
        <v>0.4111930255883947</v>
      </c>
      <c r="AC54" s="57">
        <f t="shared" si="20"/>
        <v>0.3933087880476924</v>
      </c>
      <c r="AD54" s="75">
        <f t="shared" si="20"/>
        <v>0.3771753639955528</v>
      </c>
      <c r="AE54" s="57">
        <f t="shared" si="20"/>
        <v>0.3625389222222163</v>
      </c>
      <c r="AF54" s="75">
        <f t="shared" si="20"/>
        <v>0.34919306354440255</v>
      </c>
      <c r="AG54" s="57">
        <f t="shared" si="20"/>
        <v>0.3369681683803152</v>
      </c>
      <c r="AH54" s="70">
        <f t="shared" si="7"/>
        <v>6</v>
      </c>
      <c r="AJ54" s="71">
        <f t="shared" si="12"/>
        <v>44</v>
      </c>
      <c r="AK54" s="72">
        <v>6</v>
      </c>
      <c r="AL54" s="76"/>
      <c r="AM54" s="83"/>
      <c r="AN54" s="93"/>
      <c r="AO54" s="79">
        <f t="shared" si="21"/>
        <v>1.7569498917729538</v>
      </c>
      <c r="AP54" s="79">
        <f t="shared" si="21"/>
        <v>1.3613918736656538</v>
      </c>
      <c r="AQ54" s="84">
        <f t="shared" si="21"/>
        <v>1.1213032524137918</v>
      </c>
      <c r="AR54" s="84">
        <f t="shared" si="21"/>
        <v>0.959376513994407</v>
      </c>
      <c r="AS54" s="84">
        <f t="shared" si="21"/>
        <v>0.8423799245459315</v>
      </c>
      <c r="AT54" s="92">
        <f t="shared" si="21"/>
        <v>0.7536402202046765</v>
      </c>
      <c r="AU54" s="86">
        <f t="shared" si="21"/>
        <v>0.6838594275959071</v>
      </c>
      <c r="AV54" s="86">
        <f t="shared" si="21"/>
        <v>0.6274362866308204</v>
      </c>
      <c r="AW54" s="86">
        <f t="shared" si="21"/>
        <v>0.5807913576212657</v>
      </c>
      <c r="AX54" s="86">
        <f t="shared" si="21"/>
        <v>0.541527995728253</v>
      </c>
      <c r="AY54" s="92">
        <f t="shared" si="22"/>
        <v>0.5079796379269585</v>
      </c>
      <c r="AZ54" s="86">
        <f t="shared" si="22"/>
        <v>0.4789505395326459</v>
      </c>
      <c r="BA54" s="86">
        <f t="shared" si="22"/>
        <v>0.45355985411188415</v>
      </c>
      <c r="BB54" s="94">
        <f t="shared" si="22"/>
        <v>0.4311439466698915</v>
      </c>
      <c r="BC54" s="94">
        <f t="shared" si="22"/>
        <v>0.4111930255883947</v>
      </c>
      <c r="BD54" s="95">
        <f t="shared" si="22"/>
        <v>0.3933087880476924</v>
      </c>
      <c r="BE54" s="94">
        <f t="shared" si="22"/>
        <v>0.3771753639955528</v>
      </c>
      <c r="BF54" s="94">
        <f t="shared" si="22"/>
        <v>0.3625389222222163</v>
      </c>
      <c r="BG54" s="94">
        <f t="shared" si="22"/>
        <v>0.34919306354440255</v>
      </c>
      <c r="BH54" s="96">
        <f t="shared" si="22"/>
        <v>0.3369681683803152</v>
      </c>
      <c r="BK54" s="292">
        <v>36</v>
      </c>
    </row>
    <row r="55" spans="10:66" ht="13.5" thickBot="1">
      <c r="J55" s="56">
        <f t="shared" si="9"/>
        <v>43</v>
      </c>
      <c r="K55" s="68"/>
      <c r="L55" s="69"/>
      <c r="M55" s="68"/>
      <c r="N55" s="69"/>
      <c r="O55" s="68">
        <f aca="true" t="shared" si="23" ref="O55:X56">(50-$J55)^ne/((50-O$47)^ne-(50-$J55)^ne)</f>
        <v>1.756949891772955</v>
      </c>
      <c r="P55" s="69">
        <f t="shared" si="23"/>
        <v>1.4055797875338025</v>
      </c>
      <c r="Q55" s="68">
        <f t="shared" si="23"/>
        <v>1.1797695285601761</v>
      </c>
      <c r="R55" s="69">
        <f t="shared" si="23"/>
        <v>1.0218786005658045</v>
      </c>
      <c r="S55" s="68">
        <f t="shared" si="23"/>
        <v>0.9049419825161473</v>
      </c>
      <c r="T55" s="69">
        <f t="shared" si="23"/>
        <v>0.8146439754215777</v>
      </c>
      <c r="U55" s="68">
        <f t="shared" si="23"/>
        <v>0.7426709646208635</v>
      </c>
      <c r="V55" s="69">
        <f t="shared" si="23"/>
        <v>0.6838594275959073</v>
      </c>
      <c r="W55" s="68">
        <f t="shared" si="23"/>
        <v>0.6348301605341445</v>
      </c>
      <c r="X55" s="69">
        <f t="shared" si="23"/>
        <v>0.5932770324407752</v>
      </c>
      <c r="Y55" s="68">
        <f aca="true" t="shared" si="24" ref="Y55:AG56">(50-$J55)^ne/((50-Y$47)^ne-(50-$J55)^ne)</f>
        <v>0.5575712100773634</v>
      </c>
      <c r="Z55" s="69">
        <f t="shared" si="24"/>
        <v>0.5265287474679685</v>
      </c>
      <c r="AA55" s="68">
        <f t="shared" si="24"/>
        <v>0.49926787672820794</v>
      </c>
      <c r="AB55" s="69">
        <f t="shared" si="24"/>
        <v>0.47511801615479016</v>
      </c>
      <c r="AC55" s="68">
        <f t="shared" si="24"/>
        <v>0.45355985411188404</v>
      </c>
      <c r="AD55" s="69">
        <f t="shared" si="24"/>
        <v>0.4341847801148439</v>
      </c>
      <c r="AE55" s="68">
        <f t="shared" si="24"/>
        <v>0.4166667379664203</v>
      </c>
      <c r="AF55" s="69">
        <f t="shared" si="24"/>
        <v>0.40074227296585085</v>
      </c>
      <c r="AG55" s="68">
        <f t="shared" si="24"/>
        <v>0.3861961149050035</v>
      </c>
      <c r="AH55" s="70">
        <f t="shared" si="7"/>
        <v>7</v>
      </c>
      <c r="AJ55" s="71">
        <f t="shared" si="12"/>
        <v>43</v>
      </c>
      <c r="AK55" s="72">
        <v>7</v>
      </c>
      <c r="AL55" s="73"/>
      <c r="AM55" s="78"/>
      <c r="AN55" s="97"/>
      <c r="AO55" s="98"/>
      <c r="AP55" s="79">
        <f aca="true" t="shared" si="25" ref="AP55:AY56">(50-$J55)^ne/((50-AP$46)^ne-(50-$J55)^ne)</f>
        <v>1.756949891772955</v>
      </c>
      <c r="AQ55" s="84">
        <f t="shared" si="25"/>
        <v>1.4055797875338025</v>
      </c>
      <c r="AR55" s="84">
        <f t="shared" si="25"/>
        <v>1.1797695285601761</v>
      </c>
      <c r="AS55" s="86">
        <f t="shared" si="25"/>
        <v>1.0218786005658045</v>
      </c>
      <c r="AT55" s="92">
        <f t="shared" si="25"/>
        <v>0.9049419825161473</v>
      </c>
      <c r="AU55" s="86">
        <f t="shared" si="25"/>
        <v>0.8146439754215777</v>
      </c>
      <c r="AV55" s="86">
        <f t="shared" si="25"/>
        <v>0.7426709646208635</v>
      </c>
      <c r="AW55" s="86">
        <f t="shared" si="25"/>
        <v>0.6838594275959073</v>
      </c>
      <c r="AX55" s="86">
        <f t="shared" si="25"/>
        <v>0.6348301605341445</v>
      </c>
      <c r="AY55" s="95">
        <f t="shared" si="25"/>
        <v>0.5932770324407752</v>
      </c>
      <c r="AZ55" s="94">
        <f aca="true" t="shared" si="26" ref="AZ55:BH56">(50-$J55)^ne/((50-AZ$46)^ne-(50-$J55)^ne)</f>
        <v>0.5575712100773634</v>
      </c>
      <c r="BA55" s="94">
        <f t="shared" si="26"/>
        <v>0.5265287474679685</v>
      </c>
      <c r="BB55" s="94">
        <f t="shared" si="26"/>
        <v>0.49926787672820794</v>
      </c>
      <c r="BC55" s="94">
        <f t="shared" si="26"/>
        <v>0.47511801615479016</v>
      </c>
      <c r="BD55" s="95">
        <f t="shared" si="26"/>
        <v>0.45355985411188404</v>
      </c>
      <c r="BE55" s="94">
        <f t="shared" si="26"/>
        <v>0.4341847801148439</v>
      </c>
      <c r="BF55" s="94">
        <f t="shared" si="26"/>
        <v>0.4166667379664203</v>
      </c>
      <c r="BG55" s="94">
        <f t="shared" si="26"/>
        <v>0.40074227296585085</v>
      </c>
      <c r="BH55" s="96">
        <f t="shared" si="26"/>
        <v>0.3861961149050035</v>
      </c>
      <c r="BK55" s="293"/>
      <c r="BM55" s="99"/>
      <c r="BN55" s="99">
        <f>50-BK54+1</f>
        <v>15</v>
      </c>
    </row>
    <row r="56" spans="10:60" ht="13.5" thickBot="1">
      <c r="J56" s="56">
        <f t="shared" si="9"/>
        <v>42</v>
      </c>
      <c r="K56" s="57"/>
      <c r="L56" s="75"/>
      <c r="M56" s="57"/>
      <c r="N56" s="75"/>
      <c r="O56" s="57">
        <f t="shared" si="23"/>
        <v>2.2793847975699517</v>
      </c>
      <c r="P56" s="75">
        <f t="shared" si="23"/>
        <v>1.7569498917729542</v>
      </c>
      <c r="Q56" s="57">
        <f t="shared" si="23"/>
        <v>1.440879829195784</v>
      </c>
      <c r="R56" s="75">
        <f t="shared" si="23"/>
        <v>1.2283516975245634</v>
      </c>
      <c r="S56" s="57">
        <f t="shared" si="23"/>
        <v>1.0752228734161111</v>
      </c>
      <c r="T56" s="75">
        <f t="shared" si="23"/>
        <v>0.959376513994406</v>
      </c>
      <c r="U56" s="57">
        <f t="shared" si="23"/>
        <v>0.8684966174976854</v>
      </c>
      <c r="V56" s="75">
        <f t="shared" si="23"/>
        <v>0.7951744910586843</v>
      </c>
      <c r="W56" s="57">
        <f t="shared" si="23"/>
        <v>0.7346824355536726</v>
      </c>
      <c r="X56" s="75">
        <f t="shared" si="23"/>
        <v>0.683859427595907</v>
      </c>
      <c r="Y56" s="57">
        <f t="shared" si="24"/>
        <v>0.6405103942034791</v>
      </c>
      <c r="Z56" s="75">
        <f t="shared" si="24"/>
        <v>0.6030624937733671</v>
      </c>
      <c r="AA56" s="57">
        <f t="shared" si="24"/>
        <v>0.5703585931513065</v>
      </c>
      <c r="AB56" s="75">
        <f t="shared" si="24"/>
        <v>0.541527995728253</v>
      </c>
      <c r="AC56" s="57">
        <f t="shared" si="24"/>
        <v>0.5159026612747508</v>
      </c>
      <c r="AD56" s="75">
        <f t="shared" si="24"/>
        <v>0.492961259012298</v>
      </c>
      <c r="AE56" s="57">
        <f t="shared" si="24"/>
        <v>0.4722908215082699</v>
      </c>
      <c r="AF56" s="75">
        <f t="shared" si="24"/>
        <v>0.4535598541118838</v>
      </c>
      <c r="AG56" s="57">
        <f t="shared" si="24"/>
        <v>0.4364990918724842</v>
      </c>
      <c r="AH56" s="70">
        <f t="shared" si="7"/>
        <v>8</v>
      </c>
      <c r="AJ56" s="71">
        <f t="shared" si="12"/>
        <v>42</v>
      </c>
      <c r="AK56" s="72">
        <v>8</v>
      </c>
      <c r="AL56" s="76"/>
      <c r="AM56" s="83"/>
      <c r="AN56" s="93"/>
      <c r="AO56" s="100"/>
      <c r="AP56" s="79">
        <f t="shared" si="25"/>
        <v>2.2793847975699517</v>
      </c>
      <c r="AQ56" s="79">
        <f t="shared" si="25"/>
        <v>1.7569498917729542</v>
      </c>
      <c r="AR56" s="84">
        <f t="shared" si="25"/>
        <v>1.440879829195784</v>
      </c>
      <c r="AS56" s="86">
        <f t="shared" si="25"/>
        <v>1.2283516975245634</v>
      </c>
      <c r="AT56" s="92">
        <f t="shared" si="25"/>
        <v>1.0752228734161111</v>
      </c>
      <c r="AU56" s="86">
        <f t="shared" si="25"/>
        <v>0.959376513994406</v>
      </c>
      <c r="AV56" s="86">
        <f t="shared" si="25"/>
        <v>0.8684966174976854</v>
      </c>
      <c r="AW56" s="94">
        <f t="shared" si="25"/>
        <v>0.7951744910586843</v>
      </c>
      <c r="AX56" s="94">
        <f t="shared" si="25"/>
        <v>0.7346824355536726</v>
      </c>
      <c r="AY56" s="95">
        <f t="shared" si="25"/>
        <v>0.683859427595907</v>
      </c>
      <c r="AZ56" s="94">
        <f t="shared" si="26"/>
        <v>0.6405103942034791</v>
      </c>
      <c r="BA56" s="94">
        <f t="shared" si="26"/>
        <v>0.6030624937733671</v>
      </c>
      <c r="BB56" s="94">
        <f t="shared" si="26"/>
        <v>0.5703585931513065</v>
      </c>
      <c r="BC56" s="94">
        <f t="shared" si="26"/>
        <v>0.541527995728253</v>
      </c>
      <c r="BD56" s="95">
        <f t="shared" si="26"/>
        <v>0.5159026612747508</v>
      </c>
      <c r="BE56" s="94">
        <f t="shared" si="26"/>
        <v>0.492961259012298</v>
      </c>
      <c r="BF56" s="94">
        <f t="shared" si="26"/>
        <v>0.4722908215082699</v>
      </c>
      <c r="BG56" s="94">
        <f t="shared" si="26"/>
        <v>0.4535598541118838</v>
      </c>
      <c r="BH56" s="96">
        <f t="shared" si="26"/>
        <v>0.4364990918724842</v>
      </c>
    </row>
    <row r="57" spans="10:60" ht="13.5" thickBot="1">
      <c r="J57" s="56">
        <f t="shared" si="9"/>
        <v>41</v>
      </c>
      <c r="K57" s="68"/>
      <c r="L57" s="69"/>
      <c r="M57" s="68"/>
      <c r="N57" s="69"/>
      <c r="O57" s="68"/>
      <c r="P57" s="69">
        <f aca="true" t="shared" si="27" ref="P57:Y58">(50-$J57)^ne/((50-P$47)^ne-(50-$J57)^ne)</f>
        <v>2.204985069486267</v>
      </c>
      <c r="Q57" s="68">
        <f t="shared" si="27"/>
        <v>1.7569498917729547</v>
      </c>
      <c r="R57" s="69">
        <f t="shared" si="27"/>
        <v>1.4697304353309406</v>
      </c>
      <c r="S57" s="68">
        <f t="shared" si="27"/>
        <v>1.2693697871803118</v>
      </c>
      <c r="T57" s="69">
        <f t="shared" si="27"/>
        <v>1.1213032524137907</v>
      </c>
      <c r="U57" s="68">
        <f t="shared" si="27"/>
        <v>1.0071994700780655</v>
      </c>
      <c r="V57" s="69">
        <f t="shared" si="27"/>
        <v>0.9164242325168838</v>
      </c>
      <c r="W57" s="68">
        <f t="shared" si="27"/>
        <v>0.8423799245459312</v>
      </c>
      <c r="X57" s="69">
        <f t="shared" si="27"/>
        <v>0.7807535385775658</v>
      </c>
      <c r="Y57" s="68">
        <f t="shared" si="27"/>
        <v>0.7286048628055055</v>
      </c>
      <c r="Z57" s="69">
        <f aca="true" t="shared" si="28" ref="Z57:AG58">(50-$J57)^ne/((50-Z$47)^ne-(50-$J57)^ne)</f>
        <v>0.6838594275959075</v>
      </c>
      <c r="AA57" s="68">
        <f t="shared" si="28"/>
        <v>0.645010947626228</v>
      </c>
      <c r="AB57" s="69">
        <f t="shared" si="28"/>
        <v>0.6109387342901931</v>
      </c>
      <c r="AC57" s="68">
        <f t="shared" si="28"/>
        <v>0.5807913576212655</v>
      </c>
      <c r="AD57" s="69">
        <f t="shared" si="28"/>
        <v>0.5539100935934881</v>
      </c>
      <c r="AE57" s="68">
        <f t="shared" si="28"/>
        <v>0.5297771267474627</v>
      </c>
      <c r="AF57" s="69">
        <f t="shared" si="28"/>
        <v>0.5079796379269584</v>
      </c>
      <c r="AG57" s="68">
        <f t="shared" si="28"/>
        <v>0.4881843642959505</v>
      </c>
      <c r="AH57" s="70">
        <f t="shared" si="7"/>
        <v>9</v>
      </c>
      <c r="AJ57" s="71">
        <f t="shared" si="12"/>
        <v>41</v>
      </c>
      <c r="AK57" s="72">
        <v>9</v>
      </c>
      <c r="AL57" s="73"/>
      <c r="AM57" s="78"/>
      <c r="AN57" s="97"/>
      <c r="AO57" s="98"/>
      <c r="AP57" s="97"/>
      <c r="AQ57" s="79">
        <f aca="true" t="shared" si="29" ref="AQ57:AZ58">(50-$J57)^ne/((50-AQ$46)^ne-(50-$J57)^ne)</f>
        <v>2.204985069486267</v>
      </c>
      <c r="AR57" s="84">
        <f t="shared" si="29"/>
        <v>1.7569498917729547</v>
      </c>
      <c r="AS57" s="84">
        <f t="shared" si="29"/>
        <v>1.4697304353309406</v>
      </c>
      <c r="AT57" s="92">
        <f t="shared" si="29"/>
        <v>1.2693697871803118</v>
      </c>
      <c r="AU57" s="86">
        <f t="shared" si="29"/>
        <v>1.1213032524137907</v>
      </c>
      <c r="AV57" s="86">
        <f t="shared" si="29"/>
        <v>1.0071994700780655</v>
      </c>
      <c r="AW57" s="94">
        <f t="shared" si="29"/>
        <v>0.9164242325168838</v>
      </c>
      <c r="AX57" s="94">
        <f t="shared" si="29"/>
        <v>0.8423799245459312</v>
      </c>
      <c r="AY57" s="95">
        <f t="shared" si="29"/>
        <v>0.7807535385775658</v>
      </c>
      <c r="AZ57" s="94">
        <f t="shared" si="29"/>
        <v>0.7286048628055055</v>
      </c>
      <c r="BA57" s="94">
        <f aca="true" t="shared" si="30" ref="BA57:BH58">(50-$J57)^ne/((50-BA$46)^ne-(50-$J57)^ne)</f>
        <v>0.6838594275959075</v>
      </c>
      <c r="BB57" s="94">
        <f t="shared" si="30"/>
        <v>0.645010947626228</v>
      </c>
      <c r="BC57" s="94">
        <f t="shared" si="30"/>
        <v>0.6109387342901931</v>
      </c>
      <c r="BD57" s="95">
        <f t="shared" si="30"/>
        <v>0.5807913576212655</v>
      </c>
      <c r="BE57" s="94">
        <f t="shared" si="30"/>
        <v>0.5539100935934881</v>
      </c>
      <c r="BF57" s="94">
        <f t="shared" si="30"/>
        <v>0.5297771267474627</v>
      </c>
      <c r="BG57" s="94">
        <f t="shared" si="30"/>
        <v>0.5079796379269584</v>
      </c>
      <c r="BH57" s="96">
        <f t="shared" si="30"/>
        <v>0.4881843642959505</v>
      </c>
    </row>
    <row r="58" spans="10:63" ht="13.5" thickBot="1">
      <c r="J58" s="56">
        <f t="shared" si="9"/>
        <v>40</v>
      </c>
      <c r="K58" s="57"/>
      <c r="L58" s="75"/>
      <c r="M58" s="57"/>
      <c r="N58" s="75"/>
      <c r="O58" s="57"/>
      <c r="P58" s="75">
        <f t="shared" si="27"/>
        <v>2.7987161627679096</v>
      </c>
      <c r="Q58" s="57">
        <f t="shared" si="27"/>
        <v>2.14914206682512</v>
      </c>
      <c r="R58" s="75">
        <f t="shared" si="27"/>
        <v>1.7569498917729545</v>
      </c>
      <c r="S58" s="57">
        <f t="shared" si="27"/>
        <v>1.4937521632130646</v>
      </c>
      <c r="T58" s="75">
        <f t="shared" si="27"/>
        <v>1.3044676185380062</v>
      </c>
      <c r="U58" s="57">
        <f t="shared" si="27"/>
        <v>1.1615193634385785</v>
      </c>
      <c r="V58" s="75">
        <f t="shared" si="27"/>
        <v>1.0495631967541181</v>
      </c>
      <c r="W58" s="57">
        <f t="shared" si="27"/>
        <v>0.9593765139944066</v>
      </c>
      <c r="X58" s="75">
        <f t="shared" si="27"/>
        <v>0.8850791266079192</v>
      </c>
      <c r="Y58" s="57">
        <f t="shared" si="27"/>
        <v>0.8227428171008535</v>
      </c>
      <c r="Z58" s="75">
        <f t="shared" si="28"/>
        <v>0.7696421007958599</v>
      </c>
      <c r="AA58" s="57">
        <f t="shared" si="28"/>
        <v>0.7238257413040768</v>
      </c>
      <c r="AB58" s="75">
        <f t="shared" si="28"/>
        <v>0.6838594275959075</v>
      </c>
      <c r="AC58" s="57">
        <f t="shared" si="28"/>
        <v>0.6486647886326239</v>
      </c>
      <c r="AD58" s="75">
        <f t="shared" si="28"/>
        <v>0.6174151157958404</v>
      </c>
      <c r="AE58" s="57">
        <f t="shared" si="28"/>
        <v>0.589465765914501</v>
      </c>
      <c r="AF58" s="75">
        <f t="shared" si="28"/>
        <v>0.5643064854556645</v>
      </c>
      <c r="AG58" s="57">
        <f t="shared" si="28"/>
        <v>0.5415279957282534</v>
      </c>
      <c r="AH58" s="70">
        <f t="shared" si="7"/>
        <v>10</v>
      </c>
      <c r="AJ58" s="60">
        <f t="shared" si="12"/>
        <v>40</v>
      </c>
      <c r="AK58" s="61">
        <v>10</v>
      </c>
      <c r="AL58" s="101"/>
      <c r="AM58" s="102"/>
      <c r="AN58" s="103"/>
      <c r="AO58" s="104"/>
      <c r="AP58" s="103"/>
      <c r="AQ58" s="79">
        <f t="shared" si="29"/>
        <v>2.7987161627679096</v>
      </c>
      <c r="AR58" s="84">
        <f t="shared" si="29"/>
        <v>2.14914206682512</v>
      </c>
      <c r="AS58" s="84">
        <f t="shared" si="29"/>
        <v>1.7569498917729545</v>
      </c>
      <c r="AT58" s="92">
        <f t="shared" si="29"/>
        <v>1.4937521632130646</v>
      </c>
      <c r="AU58" s="86">
        <f t="shared" si="29"/>
        <v>1.3044676185380062</v>
      </c>
      <c r="AV58" s="86">
        <f t="shared" si="29"/>
        <v>1.1615193634385785</v>
      </c>
      <c r="AW58" s="94">
        <f t="shared" si="29"/>
        <v>1.0495631967541181</v>
      </c>
      <c r="AX58" s="94">
        <f t="shared" si="29"/>
        <v>0.9593765139944066</v>
      </c>
      <c r="AY58" s="95">
        <f t="shared" si="29"/>
        <v>0.8850791266079192</v>
      </c>
      <c r="AZ58" s="94">
        <f t="shared" si="29"/>
        <v>0.8227428171008535</v>
      </c>
      <c r="BA58" s="94">
        <f t="shared" si="30"/>
        <v>0.7696421007958599</v>
      </c>
      <c r="BB58" s="94">
        <f t="shared" si="30"/>
        <v>0.7238257413040768</v>
      </c>
      <c r="BC58" s="94">
        <f t="shared" si="30"/>
        <v>0.6838594275959075</v>
      </c>
      <c r="BD58" s="95">
        <f t="shared" si="30"/>
        <v>0.6486647886326239</v>
      </c>
      <c r="BE58" s="94">
        <f t="shared" si="30"/>
        <v>0.6174151157958404</v>
      </c>
      <c r="BF58" s="105">
        <f t="shared" si="30"/>
        <v>0.589465765914501</v>
      </c>
      <c r="BG58" s="105">
        <f t="shared" si="30"/>
        <v>0.5643064854556645</v>
      </c>
      <c r="BH58" s="106">
        <f t="shared" si="30"/>
        <v>0.5415279957282534</v>
      </c>
      <c r="BK58" s="297" t="s">
        <v>64</v>
      </c>
    </row>
    <row r="59" spans="10:63" ht="13.5" thickBot="1">
      <c r="J59" s="56">
        <f t="shared" si="9"/>
        <v>39</v>
      </c>
      <c r="K59" s="68"/>
      <c r="L59" s="69"/>
      <c r="M59" s="68"/>
      <c r="N59" s="69"/>
      <c r="O59" s="68"/>
      <c r="P59" s="69"/>
      <c r="Q59" s="68">
        <f aca="true" t="shared" si="31" ref="Q59:Z60">(50-$J59)^ne/((50-Q$47)^ne-(50-$J59)^ne)</f>
        <v>2.650559291156074</v>
      </c>
      <c r="R59" s="69">
        <f t="shared" si="31"/>
        <v>2.1056812240714913</v>
      </c>
      <c r="S59" s="68">
        <f t="shared" si="31"/>
        <v>1.7569498917729556</v>
      </c>
      <c r="T59" s="69">
        <f t="shared" si="31"/>
        <v>1.514064299288224</v>
      </c>
      <c r="U59" s="68">
        <f t="shared" si="31"/>
        <v>1.3348434576417763</v>
      </c>
      <c r="V59" s="69">
        <f t="shared" si="31"/>
        <v>1.1969299517125678</v>
      </c>
      <c r="W59" s="68">
        <f t="shared" si="31"/>
        <v>1.087362266997971</v>
      </c>
      <c r="X59" s="69">
        <f t="shared" si="31"/>
        <v>0.9981042415236894</v>
      </c>
      <c r="Y59" s="68">
        <f t="shared" si="31"/>
        <v>0.9239060443253155</v>
      </c>
      <c r="Z59" s="69">
        <f t="shared" si="31"/>
        <v>0.8611912993945222</v>
      </c>
      <c r="AA59" s="68">
        <f aca="true" t="shared" si="32" ref="AA59:AG60">(50-$J59)^ne/((50-AA$47)^ne-(50-$J59)^ne)</f>
        <v>0.8074384428630382</v>
      </c>
      <c r="AB59" s="69">
        <f t="shared" si="32"/>
        <v>0.760817818708479</v>
      </c>
      <c r="AC59" s="68">
        <f t="shared" si="32"/>
        <v>0.7199690820964378</v>
      </c>
      <c r="AD59" s="69">
        <f t="shared" si="32"/>
        <v>0.6838594275959077</v>
      </c>
      <c r="AE59" s="68">
        <f t="shared" si="32"/>
        <v>0.6516903401442382</v>
      </c>
      <c r="AF59" s="69">
        <f t="shared" si="32"/>
        <v>0.6228345277660621</v>
      </c>
      <c r="AG59" s="68">
        <f t="shared" si="32"/>
        <v>0.5967922147396391</v>
      </c>
      <c r="AH59" s="70">
        <f t="shared" si="7"/>
        <v>11</v>
      </c>
      <c r="AJ59" s="71">
        <f t="shared" si="12"/>
        <v>39</v>
      </c>
      <c r="AK59" s="72">
        <v>11</v>
      </c>
      <c r="AL59" s="73"/>
      <c r="AM59" s="78"/>
      <c r="AN59" s="97"/>
      <c r="AO59" s="98"/>
      <c r="AP59" s="97"/>
      <c r="AQ59" s="78"/>
      <c r="AR59" s="79">
        <f aca="true" t="shared" si="33" ref="AR59:BA60">(50-$J59)^ne/((50-AR$46)^ne-(50-$J59)^ne)</f>
        <v>2.650559291156074</v>
      </c>
      <c r="AS59" s="84">
        <f t="shared" si="33"/>
        <v>2.1056812240714913</v>
      </c>
      <c r="AT59" s="92">
        <f t="shared" si="33"/>
        <v>1.7569498917729556</v>
      </c>
      <c r="AU59" s="86">
        <f t="shared" si="33"/>
        <v>1.514064299288224</v>
      </c>
      <c r="AV59" s="86">
        <f t="shared" si="33"/>
        <v>1.3348434576417763</v>
      </c>
      <c r="AW59" s="94">
        <f t="shared" si="33"/>
        <v>1.1969299517125678</v>
      </c>
      <c r="AX59" s="94">
        <f t="shared" si="33"/>
        <v>1.087362266997971</v>
      </c>
      <c r="AY59" s="95">
        <f t="shared" si="33"/>
        <v>0.9981042415236894</v>
      </c>
      <c r="AZ59" s="94">
        <f t="shared" si="33"/>
        <v>0.9239060443253155</v>
      </c>
      <c r="BA59" s="94">
        <f t="shared" si="33"/>
        <v>0.8611912993945222</v>
      </c>
      <c r="BB59" s="94">
        <f aca="true" t="shared" si="34" ref="BB59:BH60">(50-$J59)^ne/((50-BB$46)^ne-(50-$J59)^ne)</f>
        <v>0.8074384428630382</v>
      </c>
      <c r="BC59" s="94">
        <f t="shared" si="34"/>
        <v>0.760817818708479</v>
      </c>
      <c r="BD59" s="95">
        <f t="shared" si="34"/>
        <v>0.7199690820964378</v>
      </c>
      <c r="BE59" s="105">
        <f t="shared" si="34"/>
        <v>0.6838594275959077</v>
      </c>
      <c r="BF59" s="105">
        <f t="shared" si="34"/>
        <v>0.6516903401442382</v>
      </c>
      <c r="BG59" s="105">
        <f t="shared" si="34"/>
        <v>0.6228345277660621</v>
      </c>
      <c r="BH59" s="106">
        <f t="shared" si="34"/>
        <v>0.5967922147396391</v>
      </c>
      <c r="BK59" s="297"/>
    </row>
    <row r="60" spans="10:63" ht="13.5" thickBot="1">
      <c r="J60" s="56">
        <f t="shared" si="9"/>
        <v>38</v>
      </c>
      <c r="K60" s="57"/>
      <c r="L60" s="75"/>
      <c r="M60" s="57"/>
      <c r="N60" s="75"/>
      <c r="O60" s="57"/>
      <c r="P60" s="75"/>
      <c r="Q60" s="57">
        <f t="shared" si="31"/>
        <v>3.3162503289581817</v>
      </c>
      <c r="R60" s="75">
        <f t="shared" si="31"/>
        <v>2.539334687372398</v>
      </c>
      <c r="S60" s="57">
        <f t="shared" si="31"/>
        <v>2.0708943433997713</v>
      </c>
      <c r="T60" s="75">
        <f t="shared" si="31"/>
        <v>1.756949891772953</v>
      </c>
      <c r="U60" s="57">
        <f t="shared" si="31"/>
        <v>1.5314648665109192</v>
      </c>
      <c r="V60" s="75">
        <f t="shared" si="31"/>
        <v>1.3613918736656534</v>
      </c>
      <c r="W60" s="57">
        <f t="shared" si="31"/>
        <v>1.2283516975245634</v>
      </c>
      <c r="X60" s="75">
        <f t="shared" si="31"/>
        <v>1.121303252413791</v>
      </c>
      <c r="Y60" s="57">
        <f t="shared" si="31"/>
        <v>1.0332107256661873</v>
      </c>
      <c r="Z60" s="75">
        <f t="shared" si="31"/>
        <v>0.9593765139944068</v>
      </c>
      <c r="AA60" s="57">
        <f t="shared" si="32"/>
        <v>0.8965431641790697</v>
      </c>
      <c r="AB60" s="75">
        <f t="shared" si="32"/>
        <v>0.8423799245459316</v>
      </c>
      <c r="AC60" s="57">
        <f t="shared" si="32"/>
        <v>0.7951744910586843</v>
      </c>
      <c r="AD60" s="75">
        <f t="shared" si="32"/>
        <v>0.7536402202046764</v>
      </c>
      <c r="AE60" s="57">
        <f t="shared" si="32"/>
        <v>0.7167912933918253</v>
      </c>
      <c r="AF60" s="75">
        <f t="shared" si="32"/>
        <v>0.6838594275959071</v>
      </c>
      <c r="AG60" s="57">
        <f t="shared" si="32"/>
        <v>0.6542368398428757</v>
      </c>
      <c r="AH60" s="70">
        <f t="shared" si="7"/>
        <v>12</v>
      </c>
      <c r="AJ60" s="71">
        <f t="shared" si="12"/>
        <v>38</v>
      </c>
      <c r="AK60" s="72">
        <v>12</v>
      </c>
      <c r="AL60" s="76"/>
      <c r="AM60" s="83"/>
      <c r="AN60" s="93"/>
      <c r="AO60" s="100"/>
      <c r="AP60" s="93"/>
      <c r="AQ60" s="83"/>
      <c r="AR60" s="79">
        <f t="shared" si="33"/>
        <v>3.3162503289581817</v>
      </c>
      <c r="AS60" s="84">
        <f t="shared" si="33"/>
        <v>2.539334687372398</v>
      </c>
      <c r="AT60" s="85">
        <f t="shared" si="33"/>
        <v>2.0708943433997713</v>
      </c>
      <c r="AU60" s="86">
        <f t="shared" si="33"/>
        <v>1.756949891772953</v>
      </c>
      <c r="AV60" s="86">
        <f t="shared" si="33"/>
        <v>1.5314648665109192</v>
      </c>
      <c r="AW60" s="94">
        <f t="shared" si="33"/>
        <v>1.3613918736656534</v>
      </c>
      <c r="AX60" s="94">
        <f t="shared" si="33"/>
        <v>1.2283516975245634</v>
      </c>
      <c r="AY60" s="95">
        <f t="shared" si="33"/>
        <v>1.121303252413791</v>
      </c>
      <c r="AZ60" s="94">
        <f t="shared" si="33"/>
        <v>1.0332107256661873</v>
      </c>
      <c r="BA60" s="94">
        <f t="shared" si="33"/>
        <v>0.9593765139944068</v>
      </c>
      <c r="BB60" s="94">
        <f t="shared" si="34"/>
        <v>0.8965431641790697</v>
      </c>
      <c r="BC60" s="94">
        <f t="shared" si="34"/>
        <v>0.8423799245459316</v>
      </c>
      <c r="BD60" s="107">
        <f t="shared" si="34"/>
        <v>0.7951744910586843</v>
      </c>
      <c r="BE60" s="105">
        <f t="shared" si="34"/>
        <v>0.7536402202046764</v>
      </c>
      <c r="BF60" s="105">
        <f t="shared" si="34"/>
        <v>0.7167912933918253</v>
      </c>
      <c r="BG60" s="105">
        <f t="shared" si="34"/>
        <v>0.6838594275959071</v>
      </c>
      <c r="BH60" s="106">
        <f t="shared" si="34"/>
        <v>0.6542368398428757</v>
      </c>
      <c r="BK60" s="294" t="s">
        <v>60</v>
      </c>
    </row>
    <row r="61" spans="10:63" ht="13.5" thickBot="1">
      <c r="J61" s="56">
        <f t="shared" si="9"/>
        <v>37</v>
      </c>
      <c r="K61" s="68"/>
      <c r="L61" s="69"/>
      <c r="M61" s="68"/>
      <c r="N61" s="69"/>
      <c r="O61" s="68"/>
      <c r="P61" s="69"/>
      <c r="Q61" s="68"/>
      <c r="R61" s="69">
        <f aca="true" t="shared" si="35" ref="R61:AG62">(50-$J61)^ne/((50-R$47)^ne-(50-$J61)^ne)</f>
        <v>3.0946187521690134</v>
      </c>
      <c r="S61" s="68">
        <f t="shared" si="35"/>
        <v>2.4527555773625545</v>
      </c>
      <c r="T61" s="69">
        <f t="shared" si="35"/>
        <v>2.0424197806084265</v>
      </c>
      <c r="U61" s="68">
        <f t="shared" si="35"/>
        <v>1.7569498917729551</v>
      </c>
      <c r="V61" s="69">
        <f t="shared" si="35"/>
        <v>1.5465382203703215</v>
      </c>
      <c r="W61" s="68">
        <f t="shared" si="35"/>
        <v>1.3847944610188292</v>
      </c>
      <c r="X61" s="69">
        <f t="shared" si="35"/>
        <v>1.2564251739071814</v>
      </c>
      <c r="Y61" s="68">
        <f t="shared" si="35"/>
        <v>1.151952455701224</v>
      </c>
      <c r="Z61" s="69">
        <f t="shared" si="35"/>
        <v>1.0651873980886606</v>
      </c>
      <c r="AA61" s="68">
        <f t="shared" si="35"/>
        <v>0.9919158435716877</v>
      </c>
      <c r="AB61" s="69">
        <f t="shared" si="35"/>
        <v>0.9291679569256752</v>
      </c>
      <c r="AC61" s="68">
        <f t="shared" si="35"/>
        <v>0.8747898442690544</v>
      </c>
      <c r="AD61" s="69">
        <f t="shared" si="35"/>
        <v>0.8271808592104036</v>
      </c>
      <c r="AE61" s="68">
        <f t="shared" si="35"/>
        <v>0.7851263365590997</v>
      </c>
      <c r="AF61" s="69">
        <f t="shared" si="35"/>
        <v>0.7476876043004178</v>
      </c>
      <c r="AG61" s="68">
        <f t="shared" si="35"/>
        <v>0.7141276160263074</v>
      </c>
      <c r="AH61" s="70">
        <f t="shared" si="7"/>
        <v>13</v>
      </c>
      <c r="AJ61" s="71">
        <f t="shared" si="12"/>
        <v>37</v>
      </c>
      <c r="AK61" s="72">
        <v>13</v>
      </c>
      <c r="AL61" s="73"/>
      <c r="AM61" s="78"/>
      <c r="AN61" s="97"/>
      <c r="AO61" s="98"/>
      <c r="AP61" s="97"/>
      <c r="AQ61" s="78"/>
      <c r="AR61" s="97"/>
      <c r="AS61" s="79">
        <f aca="true" t="shared" si="36" ref="AS61:BH62">(50-$J61)^ne/((50-AS$46)^ne-(50-$J61)^ne)</f>
        <v>3.0946187521690134</v>
      </c>
      <c r="AT61" s="85">
        <f t="shared" si="36"/>
        <v>2.4527555773625545</v>
      </c>
      <c r="AU61" s="86">
        <f t="shared" si="36"/>
        <v>2.0424197806084265</v>
      </c>
      <c r="AV61" s="86">
        <f t="shared" si="36"/>
        <v>1.7569498917729551</v>
      </c>
      <c r="AW61" s="94">
        <f t="shared" si="36"/>
        <v>1.5465382203703215</v>
      </c>
      <c r="AX61" s="94">
        <f t="shared" si="36"/>
        <v>1.3847944610188292</v>
      </c>
      <c r="AY61" s="95">
        <f t="shared" si="36"/>
        <v>1.2564251739071814</v>
      </c>
      <c r="AZ61" s="94">
        <f t="shared" si="36"/>
        <v>1.151952455701224</v>
      </c>
      <c r="BA61" s="94">
        <f t="shared" si="36"/>
        <v>1.0651873980886606</v>
      </c>
      <c r="BB61" s="94">
        <f t="shared" si="36"/>
        <v>0.9919158435716877</v>
      </c>
      <c r="BC61" s="94">
        <f t="shared" si="36"/>
        <v>0.9291679569256752</v>
      </c>
      <c r="BD61" s="107">
        <f t="shared" si="36"/>
        <v>0.8747898442690544</v>
      </c>
      <c r="BE61" s="105">
        <f t="shared" si="36"/>
        <v>0.8271808592104036</v>
      </c>
      <c r="BF61" s="105">
        <f t="shared" si="36"/>
        <v>0.7851263365590997</v>
      </c>
      <c r="BG61" s="105">
        <f t="shared" si="36"/>
        <v>0.7476876043004178</v>
      </c>
      <c r="BH61" s="106">
        <f t="shared" si="36"/>
        <v>0.7141276160263074</v>
      </c>
      <c r="BK61" s="294"/>
    </row>
    <row r="62" spans="10:63" ht="13.5" thickBot="1">
      <c r="J62" s="56">
        <f t="shared" si="9"/>
        <v>36</v>
      </c>
      <c r="K62" s="57"/>
      <c r="L62" s="75"/>
      <c r="M62" s="57"/>
      <c r="N62" s="75"/>
      <c r="O62" s="57"/>
      <c r="P62" s="75"/>
      <c r="Q62" s="57"/>
      <c r="R62" s="75">
        <f t="shared" si="35"/>
        <v>3.8326460724760616</v>
      </c>
      <c r="S62" s="57">
        <f t="shared" si="35"/>
        <v>2.928235376282994</v>
      </c>
      <c r="T62" s="75">
        <f t="shared" si="35"/>
        <v>2.383443190687259</v>
      </c>
      <c r="U62" s="57">
        <f t="shared" si="35"/>
        <v>2.0186820219990445</v>
      </c>
      <c r="V62" s="75">
        <f t="shared" si="35"/>
        <v>1.7569498917729534</v>
      </c>
      <c r="W62" s="57">
        <f t="shared" si="35"/>
        <v>1.5597220988589315</v>
      </c>
      <c r="X62" s="75">
        <f t="shared" si="35"/>
        <v>1.4055797875338005</v>
      </c>
      <c r="Y62" s="57">
        <f t="shared" si="35"/>
        <v>1.2816601718360798</v>
      </c>
      <c r="Z62" s="75">
        <f t="shared" si="35"/>
        <v>1.1797695285601753</v>
      </c>
      <c r="AA62" s="57">
        <f t="shared" si="35"/>
        <v>1.0944392161500163</v>
      </c>
      <c r="AB62" s="75">
        <f t="shared" si="35"/>
        <v>1.021878600565804</v>
      </c>
      <c r="AC62" s="57">
        <f t="shared" si="35"/>
        <v>0.9593765139944062</v>
      </c>
      <c r="AD62" s="75">
        <f t="shared" si="35"/>
        <v>0.9049419825161468</v>
      </c>
      <c r="AE62" s="57">
        <f t="shared" si="35"/>
        <v>0.8570795767143753</v>
      </c>
      <c r="AF62" s="75">
        <f t="shared" si="35"/>
        <v>0.8146439754215774</v>
      </c>
      <c r="AG62" s="57">
        <f t="shared" si="35"/>
        <v>0.7767429535180868</v>
      </c>
      <c r="AH62" s="70">
        <f t="shared" si="7"/>
        <v>14</v>
      </c>
      <c r="AJ62" s="71">
        <f t="shared" si="12"/>
        <v>36</v>
      </c>
      <c r="AK62" s="72">
        <v>14</v>
      </c>
      <c r="AL62" s="76"/>
      <c r="AM62" s="83"/>
      <c r="AN62" s="93"/>
      <c r="AO62" s="100"/>
      <c r="AP62" s="93"/>
      <c r="AQ62" s="83"/>
      <c r="AR62" s="93"/>
      <c r="AS62" s="79">
        <f t="shared" si="36"/>
        <v>3.8326460724760616</v>
      </c>
      <c r="AT62" s="85">
        <f t="shared" si="36"/>
        <v>2.928235376282994</v>
      </c>
      <c r="AU62" s="86">
        <f t="shared" si="36"/>
        <v>2.383443190687259</v>
      </c>
      <c r="AV62" s="86">
        <f t="shared" si="36"/>
        <v>2.0186820219990445</v>
      </c>
      <c r="AW62" s="86">
        <f t="shared" si="36"/>
        <v>1.7569498917729534</v>
      </c>
      <c r="AX62" s="94">
        <f t="shared" si="36"/>
        <v>1.5597220988589315</v>
      </c>
      <c r="AY62" s="95">
        <f t="shared" si="36"/>
        <v>1.4055797875338005</v>
      </c>
      <c r="AZ62" s="94">
        <f t="shared" si="36"/>
        <v>1.2816601718360798</v>
      </c>
      <c r="BA62" s="94">
        <f t="shared" si="36"/>
        <v>1.1797695285601753</v>
      </c>
      <c r="BB62" s="94">
        <f t="shared" si="36"/>
        <v>1.0944392161500163</v>
      </c>
      <c r="BC62" s="105">
        <f t="shared" si="36"/>
        <v>1.021878600565804</v>
      </c>
      <c r="BD62" s="107">
        <f t="shared" si="36"/>
        <v>0.9593765139944062</v>
      </c>
      <c r="BE62" s="105">
        <f t="shared" si="36"/>
        <v>0.9049419825161468</v>
      </c>
      <c r="BF62" s="105">
        <f t="shared" si="36"/>
        <v>0.8570795767143753</v>
      </c>
      <c r="BG62" s="105">
        <f t="shared" si="36"/>
        <v>0.8146439754215774</v>
      </c>
      <c r="BH62" s="106">
        <f t="shared" si="36"/>
        <v>0.7767429535180868</v>
      </c>
      <c r="BK62" s="292">
        <v>3000</v>
      </c>
    </row>
    <row r="63" spans="10:63" ht="13.5" customHeight="1" thickBot="1">
      <c r="J63" s="56">
        <f t="shared" si="9"/>
        <v>35</v>
      </c>
      <c r="K63" s="68"/>
      <c r="L63" s="69"/>
      <c r="M63" s="68"/>
      <c r="N63" s="69"/>
      <c r="O63" s="68"/>
      <c r="P63" s="69"/>
      <c r="Q63" s="68"/>
      <c r="R63" s="69"/>
      <c r="S63" s="68">
        <f aca="true" t="shared" si="37" ref="S63:AG64">(50-$J63)^ne/((50-S$47)^ne-(50-$J63)^ne)</f>
        <v>3.5376761343484833</v>
      </c>
      <c r="T63" s="69">
        <f t="shared" si="37"/>
        <v>2.798716162767904</v>
      </c>
      <c r="U63" s="68">
        <f t="shared" si="37"/>
        <v>2.326698049435654</v>
      </c>
      <c r="V63" s="69">
        <f t="shared" si="37"/>
        <v>1.9985896725179473</v>
      </c>
      <c r="W63" s="68">
        <f t="shared" si="37"/>
        <v>1.7569498917729531</v>
      </c>
      <c r="X63" s="69">
        <f t="shared" si="37"/>
        <v>1.5713509059676116</v>
      </c>
      <c r="Y63" s="68">
        <f t="shared" si="37"/>
        <v>1.4241641294733458</v>
      </c>
      <c r="Z63" s="69">
        <f t="shared" si="37"/>
        <v>1.3044676185380069</v>
      </c>
      <c r="AA63" s="68">
        <f t="shared" si="37"/>
        <v>1.2051317168069426</v>
      </c>
      <c r="AB63" s="69">
        <f t="shared" si="37"/>
        <v>1.1213032524137914</v>
      </c>
      <c r="AC63" s="68">
        <f t="shared" si="37"/>
        <v>1.0495631967541177</v>
      </c>
      <c r="AD63" s="69">
        <f t="shared" si="37"/>
        <v>0.9874327204790511</v>
      </c>
      <c r="AE63" s="68">
        <f t="shared" si="37"/>
        <v>0.9330703424542215</v>
      </c>
      <c r="AF63" s="69">
        <f t="shared" si="37"/>
        <v>0.885079126607919</v>
      </c>
      <c r="AG63" s="68">
        <f t="shared" si="37"/>
        <v>0.8423799245459317</v>
      </c>
      <c r="AH63" s="70">
        <f t="shared" si="7"/>
        <v>15</v>
      </c>
      <c r="AJ63" s="60">
        <f t="shared" si="12"/>
        <v>35</v>
      </c>
      <c r="AK63" s="61">
        <v>15</v>
      </c>
      <c r="AL63" s="89"/>
      <c r="AM63" s="90"/>
      <c r="AN63" s="91"/>
      <c r="AO63" s="108"/>
      <c r="AP63" s="91"/>
      <c r="AQ63" s="90"/>
      <c r="AR63" s="91"/>
      <c r="AS63" s="109"/>
      <c r="AT63" s="80">
        <f aca="true" t="shared" si="38" ref="AT63:BH64">(50-$J63)^ne/((50-AT$46)^ne-(50-$J63)^ne)</f>
        <v>3.5376761343484833</v>
      </c>
      <c r="AU63" s="84">
        <f t="shared" si="38"/>
        <v>2.798716162767904</v>
      </c>
      <c r="AV63" s="86">
        <f t="shared" si="38"/>
        <v>2.326698049435654</v>
      </c>
      <c r="AW63" s="86">
        <f t="shared" si="38"/>
        <v>1.9985896725179473</v>
      </c>
      <c r="AX63" s="94">
        <f t="shared" si="38"/>
        <v>1.7569498917729531</v>
      </c>
      <c r="AY63" s="95">
        <f t="shared" si="38"/>
        <v>1.5713509059676116</v>
      </c>
      <c r="AZ63" s="94">
        <f t="shared" si="38"/>
        <v>1.4241641294733458</v>
      </c>
      <c r="BA63" s="94">
        <f t="shared" si="38"/>
        <v>1.3044676185380069</v>
      </c>
      <c r="BB63" s="94">
        <f t="shared" si="38"/>
        <v>1.2051317168069426</v>
      </c>
      <c r="BC63" s="105">
        <f t="shared" si="38"/>
        <v>1.1213032524137914</v>
      </c>
      <c r="BD63" s="107">
        <f t="shared" si="38"/>
        <v>1.0495631967541177</v>
      </c>
      <c r="BE63" s="105">
        <f t="shared" si="38"/>
        <v>0.9874327204790511</v>
      </c>
      <c r="BF63" s="105">
        <f t="shared" si="38"/>
        <v>0.9330703424542215</v>
      </c>
      <c r="BG63" s="105">
        <f t="shared" si="38"/>
        <v>0.885079126607919</v>
      </c>
      <c r="BH63" s="106">
        <f t="shared" si="38"/>
        <v>0.8423799245459317</v>
      </c>
      <c r="BK63" s="293"/>
    </row>
    <row r="64" spans="10:63" ht="13.5" customHeight="1" thickBot="1">
      <c r="J64" s="56">
        <f t="shared" si="9"/>
        <v>34</v>
      </c>
      <c r="K64" s="57"/>
      <c r="L64" s="75"/>
      <c r="M64" s="57"/>
      <c r="N64" s="75"/>
      <c r="O64" s="57"/>
      <c r="P64" s="75"/>
      <c r="Q64" s="57"/>
      <c r="R64" s="75"/>
      <c r="S64" s="57">
        <f t="shared" si="37"/>
        <v>4.348273582644926</v>
      </c>
      <c r="T64" s="75">
        <f t="shared" si="37"/>
        <v>3.3162503289581733</v>
      </c>
      <c r="U64" s="57">
        <f t="shared" si="37"/>
        <v>2.695022602700843</v>
      </c>
      <c r="V64" s="75">
        <f t="shared" si="37"/>
        <v>2.2793847975699504</v>
      </c>
      <c r="W64" s="57">
        <f t="shared" si="37"/>
        <v>1.9813627528339433</v>
      </c>
      <c r="X64" s="75">
        <f t="shared" si="37"/>
        <v>1.7569498917729522</v>
      </c>
      <c r="Y64" s="57">
        <f t="shared" si="37"/>
        <v>1.5816845120788519</v>
      </c>
      <c r="Z64" s="75">
        <f t="shared" si="37"/>
        <v>1.4408798291957836</v>
      </c>
      <c r="AA64" s="57">
        <f t="shared" si="37"/>
        <v>1.3251825320873643</v>
      </c>
      <c r="AB64" s="75">
        <f t="shared" si="37"/>
        <v>1.2283516975245634</v>
      </c>
      <c r="AC64" s="57">
        <f t="shared" si="37"/>
        <v>1.1460625761969037</v>
      </c>
      <c r="AD64" s="75">
        <f t="shared" si="37"/>
        <v>1.075222873416111</v>
      </c>
      <c r="AE64" s="57">
        <f t="shared" si="37"/>
        <v>1.0135623990685017</v>
      </c>
      <c r="AF64" s="75">
        <f t="shared" si="37"/>
        <v>0.9593765139944059</v>
      </c>
      <c r="AG64" s="57">
        <f t="shared" si="37"/>
        <v>0.9113600629327091</v>
      </c>
      <c r="AH64" s="70">
        <f t="shared" si="7"/>
        <v>16</v>
      </c>
      <c r="AJ64" s="71">
        <f t="shared" si="12"/>
        <v>34</v>
      </c>
      <c r="AK64" s="72">
        <v>16</v>
      </c>
      <c r="AL64" s="76"/>
      <c r="AM64" s="83"/>
      <c r="AN64" s="93"/>
      <c r="AO64" s="100"/>
      <c r="AP64" s="93"/>
      <c r="AQ64" s="83"/>
      <c r="AR64" s="93"/>
      <c r="AS64" s="110"/>
      <c r="AT64" s="80">
        <f t="shared" si="38"/>
        <v>4.348273582644926</v>
      </c>
      <c r="AU64" s="84">
        <f t="shared" si="38"/>
        <v>3.3162503289581733</v>
      </c>
      <c r="AV64" s="86">
        <f t="shared" si="38"/>
        <v>2.695022602700843</v>
      </c>
      <c r="AW64" s="86">
        <f t="shared" si="38"/>
        <v>2.2793847975699504</v>
      </c>
      <c r="AX64" s="86">
        <f t="shared" si="38"/>
        <v>1.9813627528339433</v>
      </c>
      <c r="AY64" s="95">
        <f t="shared" si="38"/>
        <v>1.7569498917729522</v>
      </c>
      <c r="AZ64" s="94">
        <f t="shared" si="38"/>
        <v>1.5816845120788519</v>
      </c>
      <c r="BA64" s="94">
        <f t="shared" si="38"/>
        <v>1.4408798291957836</v>
      </c>
      <c r="BB64" s="94">
        <f t="shared" si="38"/>
        <v>1.3251825320873643</v>
      </c>
      <c r="BC64" s="105">
        <f t="shared" si="38"/>
        <v>1.2283516975245634</v>
      </c>
      <c r="BD64" s="107">
        <f t="shared" si="38"/>
        <v>1.1460625761969037</v>
      </c>
      <c r="BE64" s="105">
        <f t="shared" si="38"/>
        <v>1.075222873416111</v>
      </c>
      <c r="BF64" s="105">
        <f t="shared" si="38"/>
        <v>1.0135623990685017</v>
      </c>
      <c r="BG64" s="105">
        <f t="shared" si="38"/>
        <v>0.9593765139944059</v>
      </c>
      <c r="BH64" s="106">
        <f t="shared" si="38"/>
        <v>0.9113600629327091</v>
      </c>
      <c r="BK64" s="294" t="s">
        <v>55</v>
      </c>
    </row>
    <row r="65" spans="10:63" ht="13.5" customHeight="1" thickBot="1">
      <c r="J65" s="56">
        <f t="shared" si="9"/>
        <v>33</v>
      </c>
      <c r="K65" s="68"/>
      <c r="L65" s="69"/>
      <c r="M65" s="68"/>
      <c r="N65" s="69"/>
      <c r="O65" s="68"/>
      <c r="P65" s="69"/>
      <c r="Q65" s="68"/>
      <c r="R65" s="69"/>
      <c r="S65" s="68"/>
      <c r="T65" s="69">
        <f aca="true" t="shared" si="39" ref="T65:AG66">(50-$J65)^ne/((50-T$47)^ne-(50-$J65)^ne)</f>
        <v>3.9800347979706654</v>
      </c>
      <c r="U65" s="68">
        <f t="shared" si="39"/>
        <v>3.1438899667575133</v>
      </c>
      <c r="V65" s="69">
        <f t="shared" si="39"/>
        <v>2.610125253462916</v>
      </c>
      <c r="W65" s="68">
        <f t="shared" si="39"/>
        <v>2.2393313047667607</v>
      </c>
      <c r="X65" s="69">
        <f t="shared" si="39"/>
        <v>1.9664290107022502</v>
      </c>
      <c r="Y65" s="68">
        <f t="shared" si="39"/>
        <v>1.7569498917729538</v>
      </c>
      <c r="Z65" s="69">
        <f t="shared" si="39"/>
        <v>1.5909279281148834</v>
      </c>
      <c r="AA65" s="68">
        <f t="shared" si="39"/>
        <v>1.4559954597339895</v>
      </c>
      <c r="AB65" s="69">
        <f t="shared" si="39"/>
        <v>1.3440808353860276</v>
      </c>
      <c r="AC65" s="68">
        <f t="shared" si="39"/>
        <v>1.2496909281654667</v>
      </c>
      <c r="AD65" s="69">
        <f t="shared" si="39"/>
        <v>1.168956797663935</v>
      </c>
      <c r="AE65" s="68">
        <f t="shared" si="39"/>
        <v>1.0990741244055442</v>
      </c>
      <c r="AF65" s="69">
        <f t="shared" si="39"/>
        <v>1.0379601601578323</v>
      </c>
      <c r="AG65" s="68">
        <f t="shared" si="39"/>
        <v>0.9840353580650749</v>
      </c>
      <c r="AH65" s="70">
        <f t="shared" si="7"/>
        <v>17</v>
      </c>
      <c r="AJ65" s="71">
        <f t="shared" si="12"/>
        <v>33</v>
      </c>
      <c r="AK65" s="72">
        <v>17</v>
      </c>
      <c r="AL65" s="73"/>
      <c r="AM65" s="78"/>
      <c r="AN65" s="97"/>
      <c r="AO65" s="98"/>
      <c r="AP65" s="97"/>
      <c r="AQ65" s="78"/>
      <c r="AR65" s="97"/>
      <c r="AS65" s="111"/>
      <c r="AT65" s="112"/>
      <c r="AU65" s="79">
        <f aca="true" t="shared" si="40" ref="AU65:BH66">(50-$J65)^ne/((50-AU$46)^ne-(50-$J65)^ne)</f>
        <v>3.9800347979706654</v>
      </c>
      <c r="AV65" s="84">
        <f t="shared" si="40"/>
        <v>3.1438899667575133</v>
      </c>
      <c r="AW65" s="86">
        <f t="shared" si="40"/>
        <v>2.610125253462916</v>
      </c>
      <c r="AX65" s="86">
        <f t="shared" si="40"/>
        <v>2.2393313047667607</v>
      </c>
      <c r="AY65" s="95">
        <f t="shared" si="40"/>
        <v>1.9664290107022502</v>
      </c>
      <c r="AZ65" s="94">
        <f t="shared" si="40"/>
        <v>1.7569498917729538</v>
      </c>
      <c r="BA65" s="94">
        <f t="shared" si="40"/>
        <v>1.5909279281148834</v>
      </c>
      <c r="BB65" s="94">
        <f t="shared" si="40"/>
        <v>1.4559954597339895</v>
      </c>
      <c r="BC65" s="94">
        <f t="shared" si="40"/>
        <v>1.3440808353860276</v>
      </c>
      <c r="BD65" s="107">
        <f t="shared" si="40"/>
        <v>1.2496909281654667</v>
      </c>
      <c r="BE65" s="105">
        <f t="shared" si="40"/>
        <v>1.168956797663935</v>
      </c>
      <c r="BF65" s="105">
        <f t="shared" si="40"/>
        <v>1.0990741244055442</v>
      </c>
      <c r="BG65" s="105">
        <f t="shared" si="40"/>
        <v>1.0379601601578323</v>
      </c>
      <c r="BH65" s="106">
        <f t="shared" si="40"/>
        <v>0.9840353580650749</v>
      </c>
      <c r="BK65" s="307"/>
    </row>
    <row r="66" spans="10:63" ht="13.5" customHeight="1" thickBot="1">
      <c r="J66" s="56">
        <f t="shared" si="9"/>
        <v>32</v>
      </c>
      <c r="K66" s="57"/>
      <c r="L66" s="75"/>
      <c r="M66" s="57"/>
      <c r="N66" s="75"/>
      <c r="O66" s="57"/>
      <c r="P66" s="75"/>
      <c r="Q66" s="57"/>
      <c r="R66" s="75"/>
      <c r="S66" s="57"/>
      <c r="T66" s="75">
        <f t="shared" si="39"/>
        <v>4.863357546424657</v>
      </c>
      <c r="U66" s="57">
        <f t="shared" si="39"/>
        <v>3.703630421105008</v>
      </c>
      <c r="V66" s="75">
        <f t="shared" si="39"/>
        <v>3.005899535407059</v>
      </c>
      <c r="W66" s="57">
        <f t="shared" si="39"/>
        <v>2.5393346873723948</v>
      </c>
      <c r="X66" s="75">
        <f t="shared" si="39"/>
        <v>2.2049850694862636</v>
      </c>
      <c r="Y66" s="57">
        <f t="shared" si="39"/>
        <v>1.9533590780069499</v>
      </c>
      <c r="Z66" s="75">
        <f t="shared" si="39"/>
        <v>1.7569498917729536</v>
      </c>
      <c r="AA66" s="57">
        <f t="shared" si="39"/>
        <v>1.5992450589228109</v>
      </c>
      <c r="AB66" s="75">
        <f t="shared" si="39"/>
        <v>1.4697304353309402</v>
      </c>
      <c r="AC66" s="57">
        <f t="shared" si="39"/>
        <v>1.3613918736656523</v>
      </c>
      <c r="AD66" s="75">
        <f t="shared" si="39"/>
        <v>1.2693697871803111</v>
      </c>
      <c r="AE66" s="57">
        <f t="shared" si="39"/>
        <v>1.1901901947928772</v>
      </c>
      <c r="AF66" s="75">
        <f t="shared" si="39"/>
        <v>1.1213032524137905</v>
      </c>
      <c r="AG66" s="57">
        <f t="shared" si="39"/>
        <v>1.060794765591835</v>
      </c>
      <c r="AH66" s="70">
        <f t="shared" si="7"/>
        <v>18</v>
      </c>
      <c r="AJ66" s="71">
        <f t="shared" si="12"/>
        <v>32</v>
      </c>
      <c r="AK66" s="72">
        <v>18</v>
      </c>
      <c r="AL66" s="76"/>
      <c r="AM66" s="83"/>
      <c r="AN66" s="93"/>
      <c r="AO66" s="100"/>
      <c r="AP66" s="93"/>
      <c r="AQ66" s="83"/>
      <c r="AR66" s="93"/>
      <c r="AS66" s="110"/>
      <c r="AT66" s="113"/>
      <c r="AU66" s="79">
        <f t="shared" si="40"/>
        <v>4.863357546424657</v>
      </c>
      <c r="AV66" s="84">
        <f t="shared" si="40"/>
        <v>3.703630421105008</v>
      </c>
      <c r="AW66" s="86">
        <f t="shared" si="40"/>
        <v>3.005899535407059</v>
      </c>
      <c r="AX66" s="86">
        <f t="shared" si="40"/>
        <v>2.5393346873723948</v>
      </c>
      <c r="AY66" s="95">
        <f t="shared" si="40"/>
        <v>2.2049850694862636</v>
      </c>
      <c r="AZ66" s="94">
        <f t="shared" si="40"/>
        <v>1.9533590780069499</v>
      </c>
      <c r="BA66" s="94">
        <f t="shared" si="40"/>
        <v>1.7569498917729536</v>
      </c>
      <c r="BB66" s="94">
        <f t="shared" si="40"/>
        <v>1.5992450589228109</v>
      </c>
      <c r="BC66" s="94">
        <f t="shared" si="40"/>
        <v>1.4697304353309402</v>
      </c>
      <c r="BD66" s="107">
        <f t="shared" si="40"/>
        <v>1.3613918736656523</v>
      </c>
      <c r="BE66" s="105">
        <f t="shared" si="40"/>
        <v>1.2693697871803111</v>
      </c>
      <c r="BF66" s="105">
        <f t="shared" si="40"/>
        <v>1.1901901947928772</v>
      </c>
      <c r="BG66" s="105">
        <f t="shared" si="40"/>
        <v>1.1213032524137905</v>
      </c>
      <c r="BH66" s="106">
        <f t="shared" si="40"/>
        <v>1.060794765591835</v>
      </c>
      <c r="BK66" s="292">
        <v>20</v>
      </c>
    </row>
    <row r="67" spans="10:66" ht="13.5" customHeight="1" thickBot="1">
      <c r="J67" s="56">
        <f t="shared" si="9"/>
        <v>31</v>
      </c>
      <c r="K67" s="68"/>
      <c r="L67" s="69"/>
      <c r="M67" s="68"/>
      <c r="N67" s="69"/>
      <c r="O67" s="68"/>
      <c r="P67" s="69"/>
      <c r="Q67" s="68"/>
      <c r="R67" s="69"/>
      <c r="S67" s="68"/>
      <c r="T67" s="69"/>
      <c r="U67" s="68">
        <f aca="true" t="shared" si="41" ref="U67:AG68">(50-$J67)^ne/((50-U$47)^ne-(50-$J67)^ne)</f>
        <v>4.4218862453793255</v>
      </c>
      <c r="V67" s="69">
        <f t="shared" si="41"/>
        <v>3.488486387833997</v>
      </c>
      <c r="W67" s="68">
        <f t="shared" si="41"/>
        <v>2.8929220770810367</v>
      </c>
      <c r="X67" s="69">
        <f t="shared" si="41"/>
        <v>2.4794023235918625</v>
      </c>
      <c r="Y67" s="68">
        <f t="shared" si="41"/>
        <v>2.1752069316349116</v>
      </c>
      <c r="Z67" s="69">
        <f t="shared" si="41"/>
        <v>1.9418244916077931</v>
      </c>
      <c r="AA67" s="68">
        <f t="shared" si="41"/>
        <v>1.7569498917729538</v>
      </c>
      <c r="AB67" s="69">
        <f t="shared" si="41"/>
        <v>1.6067685158229033</v>
      </c>
      <c r="AC67" s="68">
        <f t="shared" si="41"/>
        <v>1.482265776669974</v>
      </c>
      <c r="AD67" s="69">
        <f t="shared" si="41"/>
        <v>1.377307869355318</v>
      </c>
      <c r="AE67" s="68">
        <f t="shared" si="41"/>
        <v>1.2875753798692595</v>
      </c>
      <c r="AF67" s="69">
        <f t="shared" si="41"/>
        <v>1.209938057700138</v>
      </c>
      <c r="AG67" s="68">
        <f t="shared" si="41"/>
        <v>1.142071538374215</v>
      </c>
      <c r="AH67" s="70">
        <f t="shared" si="7"/>
        <v>19</v>
      </c>
      <c r="AJ67" s="71">
        <f t="shared" si="12"/>
        <v>31</v>
      </c>
      <c r="AK67" s="72">
        <v>19</v>
      </c>
      <c r="AL67" s="73"/>
      <c r="AM67" s="78"/>
      <c r="AN67" s="97"/>
      <c r="AO67" s="98"/>
      <c r="AP67" s="97"/>
      <c r="AQ67" s="78"/>
      <c r="AR67" s="97"/>
      <c r="AS67" s="111"/>
      <c r="AT67" s="114"/>
      <c r="AU67" s="78"/>
      <c r="AV67" s="79">
        <f aca="true" t="shared" si="42" ref="AV67:BH68">(50-$J67)^ne/((50-AV$46)^ne-(50-$J67)^ne)</f>
        <v>4.4218862453793255</v>
      </c>
      <c r="AW67" s="84">
        <f t="shared" si="42"/>
        <v>3.488486387833997</v>
      </c>
      <c r="AX67" s="86">
        <f t="shared" si="42"/>
        <v>2.8929220770810367</v>
      </c>
      <c r="AY67" s="92">
        <f t="shared" si="42"/>
        <v>2.4794023235918625</v>
      </c>
      <c r="AZ67" s="94">
        <f t="shared" si="42"/>
        <v>2.1752069316349116</v>
      </c>
      <c r="BA67" s="94">
        <f t="shared" si="42"/>
        <v>1.9418244916077931</v>
      </c>
      <c r="BB67" s="94">
        <f t="shared" si="42"/>
        <v>1.7569498917729538</v>
      </c>
      <c r="BC67" s="94">
        <f t="shared" si="42"/>
        <v>1.6067685158229033</v>
      </c>
      <c r="BD67" s="107">
        <f t="shared" si="42"/>
        <v>1.482265776669974</v>
      </c>
      <c r="BE67" s="105">
        <f t="shared" si="42"/>
        <v>1.377307869355318</v>
      </c>
      <c r="BF67" s="105">
        <f t="shared" si="42"/>
        <v>1.2875753798692595</v>
      </c>
      <c r="BG67" s="105">
        <f t="shared" si="42"/>
        <v>1.209938057700138</v>
      </c>
      <c r="BH67" s="106">
        <f t="shared" si="42"/>
        <v>1.142071538374215</v>
      </c>
      <c r="BK67" s="293"/>
      <c r="BN67">
        <f>(44-BK66)/2+1</f>
        <v>13</v>
      </c>
    </row>
    <row r="68" spans="10:60" ht="13.5" thickBot="1">
      <c r="J68" s="56">
        <f t="shared" si="9"/>
        <v>30</v>
      </c>
      <c r="K68" s="57"/>
      <c r="L68" s="75"/>
      <c r="M68" s="115"/>
      <c r="N68" s="116"/>
      <c r="O68" s="115"/>
      <c r="P68" s="116"/>
      <c r="Q68" s="115"/>
      <c r="R68" s="116"/>
      <c r="S68" s="115"/>
      <c r="T68" s="116"/>
      <c r="U68" s="115">
        <f t="shared" si="41"/>
        <v>5.378042493524775</v>
      </c>
      <c r="V68" s="116">
        <f t="shared" si="41"/>
        <v>4.090539392493227</v>
      </c>
      <c r="W68" s="115">
        <f t="shared" si="41"/>
        <v>3.3162503289581773</v>
      </c>
      <c r="X68" s="116">
        <f t="shared" si="41"/>
        <v>2.7987161627679047</v>
      </c>
      <c r="Y68" s="115">
        <f t="shared" si="41"/>
        <v>2.428006361822206</v>
      </c>
      <c r="Z68" s="116">
        <f t="shared" si="41"/>
        <v>2.1491420668251187</v>
      </c>
      <c r="AA68" s="115">
        <f t="shared" si="41"/>
        <v>1.931569693966677</v>
      </c>
      <c r="AB68" s="116">
        <f t="shared" si="41"/>
        <v>1.756949891772954</v>
      </c>
      <c r="AC68" s="115">
        <f t="shared" si="41"/>
        <v>1.6136067459089545</v>
      </c>
      <c r="AD68" s="116">
        <f t="shared" si="41"/>
        <v>1.493752163213064</v>
      </c>
      <c r="AE68" s="115">
        <f t="shared" si="41"/>
        <v>1.3919911573503285</v>
      </c>
      <c r="AF68" s="116">
        <f t="shared" si="41"/>
        <v>1.304467618538006</v>
      </c>
      <c r="AG68" s="115">
        <f t="shared" si="41"/>
        <v>1.228351697524564</v>
      </c>
      <c r="AH68" s="70">
        <f t="shared" si="7"/>
        <v>20</v>
      </c>
      <c r="AJ68" s="60">
        <f t="shared" si="12"/>
        <v>30</v>
      </c>
      <c r="AK68" s="61">
        <v>20</v>
      </c>
      <c r="AL68" s="101"/>
      <c r="AM68" s="117"/>
      <c r="AN68" s="118"/>
      <c r="AO68" s="119"/>
      <c r="AP68" s="118"/>
      <c r="AQ68" s="120"/>
      <c r="AR68" s="118"/>
      <c r="AS68" s="121"/>
      <c r="AT68" s="122"/>
      <c r="AU68" s="123"/>
      <c r="AV68" s="79">
        <f t="shared" si="42"/>
        <v>5.378042493524775</v>
      </c>
      <c r="AW68" s="84">
        <f t="shared" si="42"/>
        <v>4.090539392493227</v>
      </c>
      <c r="AX68" s="86">
        <f t="shared" si="42"/>
        <v>3.3162503289581773</v>
      </c>
      <c r="AY68" s="92">
        <f t="shared" si="42"/>
        <v>2.7987161627679047</v>
      </c>
      <c r="AZ68" s="94">
        <f t="shared" si="42"/>
        <v>2.428006361822206</v>
      </c>
      <c r="BA68" s="94">
        <f t="shared" si="42"/>
        <v>2.1491420668251187</v>
      </c>
      <c r="BB68" s="94">
        <f t="shared" si="42"/>
        <v>1.931569693966677</v>
      </c>
      <c r="BC68" s="94">
        <f t="shared" si="42"/>
        <v>1.756949891772954</v>
      </c>
      <c r="BD68" s="95">
        <f t="shared" si="42"/>
        <v>1.6136067459089545</v>
      </c>
      <c r="BE68" s="105">
        <f t="shared" si="42"/>
        <v>1.493752163213064</v>
      </c>
      <c r="BF68" s="105">
        <f t="shared" si="42"/>
        <v>1.3919911573503285</v>
      </c>
      <c r="BG68" s="105">
        <f t="shared" si="42"/>
        <v>1.304467618538006</v>
      </c>
      <c r="BH68" s="106">
        <f t="shared" si="42"/>
        <v>1.228351697524564</v>
      </c>
    </row>
    <row r="69" spans="10:60" ht="13.5" thickBot="1">
      <c r="J69" s="56">
        <f t="shared" si="9"/>
        <v>29</v>
      </c>
      <c r="K69" s="68"/>
      <c r="L69" s="69"/>
      <c r="M69" s="124"/>
      <c r="N69" s="125"/>
      <c r="O69" s="124"/>
      <c r="P69" s="125"/>
      <c r="Q69" s="124"/>
      <c r="R69" s="125"/>
      <c r="S69" s="124"/>
      <c r="T69" s="125"/>
      <c r="U69" s="124"/>
      <c r="V69" s="125">
        <f aca="true" t="shared" si="43" ref="V69:AG70">(50-$J69)^ne/((50-V$47)^ne-(50-$J69)^ne)</f>
        <v>4.863357546424675</v>
      </c>
      <c r="W69" s="124">
        <f t="shared" si="43"/>
        <v>3.8326460724760656</v>
      </c>
      <c r="X69" s="125">
        <f t="shared" si="43"/>
        <v>3.1752382678161784</v>
      </c>
      <c r="Y69" s="124">
        <f t="shared" si="43"/>
        <v>2.7189584688274397</v>
      </c>
      <c r="Z69" s="125">
        <f t="shared" si="43"/>
        <v>2.3834431906872644</v>
      </c>
      <c r="AA69" s="124">
        <f t="shared" si="43"/>
        <v>2.1261364656519826</v>
      </c>
      <c r="AB69" s="125">
        <f t="shared" si="43"/>
        <v>1.9223928674094874</v>
      </c>
      <c r="AC69" s="124">
        <f t="shared" si="43"/>
        <v>1.7569498917729542</v>
      </c>
      <c r="AD69" s="125">
        <f t="shared" si="43"/>
        <v>1.6198492969539795</v>
      </c>
      <c r="AE69" s="124">
        <f t="shared" si="43"/>
        <v>1.5043160388766712</v>
      </c>
      <c r="AF69" s="125">
        <f t="shared" si="43"/>
        <v>1.4055797875338016</v>
      </c>
      <c r="AG69" s="124">
        <f t="shared" si="43"/>
        <v>1.3201840093326722</v>
      </c>
      <c r="AH69" s="70">
        <f t="shared" si="7"/>
        <v>21</v>
      </c>
      <c r="AJ69" s="71">
        <f t="shared" si="12"/>
        <v>29</v>
      </c>
      <c r="AK69" s="72">
        <v>21</v>
      </c>
      <c r="AL69" s="73"/>
      <c r="AM69" s="78"/>
      <c r="AN69" s="126"/>
      <c r="AO69" s="127"/>
      <c r="AP69" s="126"/>
      <c r="AQ69" s="128"/>
      <c r="AR69" s="126"/>
      <c r="AS69" s="129"/>
      <c r="AT69" s="130"/>
      <c r="AU69" s="128"/>
      <c r="AV69" s="126"/>
      <c r="AW69" s="79">
        <f aca="true" t="shared" si="44" ref="AW69:BH70">(50-$J69)^ne/((50-AW$46)^ne-(50-$J69)^ne)</f>
        <v>4.863357546424675</v>
      </c>
      <c r="AX69" s="84">
        <f t="shared" si="44"/>
        <v>3.8326460724760656</v>
      </c>
      <c r="AY69" s="92">
        <f t="shared" si="44"/>
        <v>3.1752382678161784</v>
      </c>
      <c r="AZ69" s="86">
        <f t="shared" si="44"/>
        <v>2.7189584688274397</v>
      </c>
      <c r="BA69" s="94">
        <f t="shared" si="44"/>
        <v>2.3834431906872644</v>
      </c>
      <c r="BB69" s="94">
        <f t="shared" si="44"/>
        <v>2.1261364656519826</v>
      </c>
      <c r="BC69" s="94">
        <f t="shared" si="44"/>
        <v>1.9223928674094874</v>
      </c>
      <c r="BD69" s="95">
        <f t="shared" si="44"/>
        <v>1.7569498917729542</v>
      </c>
      <c r="BE69" s="105">
        <f t="shared" si="44"/>
        <v>1.6198492969539795</v>
      </c>
      <c r="BF69" s="105">
        <f t="shared" si="44"/>
        <v>1.5043160388766712</v>
      </c>
      <c r="BG69" s="105">
        <f t="shared" si="44"/>
        <v>1.4055797875338016</v>
      </c>
      <c r="BH69" s="106">
        <f t="shared" si="44"/>
        <v>1.3201840093326722</v>
      </c>
    </row>
    <row r="70" spans="10:63" ht="13.5" thickBot="1">
      <c r="J70" s="56">
        <f t="shared" si="9"/>
        <v>28</v>
      </c>
      <c r="K70" s="57"/>
      <c r="L70" s="75"/>
      <c r="M70" s="115"/>
      <c r="N70" s="116"/>
      <c r="O70" s="115"/>
      <c r="P70" s="116"/>
      <c r="Q70" s="115"/>
      <c r="R70" s="116"/>
      <c r="S70" s="115"/>
      <c r="T70" s="116"/>
      <c r="U70" s="115"/>
      <c r="V70" s="116">
        <f t="shared" si="43"/>
        <v>5.8924257241232185</v>
      </c>
      <c r="W70" s="115">
        <f t="shared" si="43"/>
        <v>4.477088843040469</v>
      </c>
      <c r="X70" s="116">
        <f t="shared" si="43"/>
        <v>3.62619642050129</v>
      </c>
      <c r="Y70" s="115">
        <f t="shared" si="43"/>
        <v>3.0576573810794</v>
      </c>
      <c r="Z70" s="116">
        <f t="shared" si="43"/>
        <v>2.6505592911560694</v>
      </c>
      <c r="AA70" s="115">
        <f t="shared" si="43"/>
        <v>2.3444344249036746</v>
      </c>
      <c r="AB70" s="116">
        <f t="shared" si="43"/>
        <v>2.105681224071489</v>
      </c>
      <c r="AC70" s="115">
        <f t="shared" si="43"/>
        <v>1.9141325128136522</v>
      </c>
      <c r="AD70" s="116">
        <f t="shared" si="43"/>
        <v>1.7569498917729536</v>
      </c>
      <c r="AE70" s="115">
        <f t="shared" si="43"/>
        <v>1.6255707630687677</v>
      </c>
      <c r="AF70" s="116">
        <f t="shared" si="43"/>
        <v>1.5140642992882227</v>
      </c>
      <c r="AG70" s="115">
        <f t="shared" si="43"/>
        <v>1.4181919099520308</v>
      </c>
      <c r="AH70" s="70">
        <f t="shared" si="7"/>
        <v>22</v>
      </c>
      <c r="AJ70" s="71">
        <f t="shared" si="12"/>
        <v>28</v>
      </c>
      <c r="AK70" s="72">
        <v>22</v>
      </c>
      <c r="AL70" s="76"/>
      <c r="AM70" s="83"/>
      <c r="AN70" s="131"/>
      <c r="AO70" s="132"/>
      <c r="AP70" s="131"/>
      <c r="AQ70" s="133"/>
      <c r="AR70" s="131"/>
      <c r="AS70" s="134"/>
      <c r="AT70" s="135"/>
      <c r="AU70" s="133"/>
      <c r="AV70" s="131"/>
      <c r="AW70" s="79">
        <f t="shared" si="44"/>
        <v>5.8924257241232185</v>
      </c>
      <c r="AX70" s="84">
        <f t="shared" si="44"/>
        <v>4.477088843040469</v>
      </c>
      <c r="AY70" s="92">
        <f t="shared" si="44"/>
        <v>3.62619642050129</v>
      </c>
      <c r="AZ70" s="86">
        <f t="shared" si="44"/>
        <v>3.0576573810794</v>
      </c>
      <c r="BA70" s="94">
        <f t="shared" si="44"/>
        <v>2.6505592911560694</v>
      </c>
      <c r="BB70" s="94">
        <f t="shared" si="44"/>
        <v>2.3444344249036746</v>
      </c>
      <c r="BC70" s="94">
        <f t="shared" si="44"/>
        <v>2.105681224071489</v>
      </c>
      <c r="BD70" s="95">
        <f t="shared" si="44"/>
        <v>1.9141325128136522</v>
      </c>
      <c r="BE70" s="105">
        <f t="shared" si="44"/>
        <v>1.7569498917729536</v>
      </c>
      <c r="BF70" s="105">
        <f t="shared" si="44"/>
        <v>1.6255707630687677</v>
      </c>
      <c r="BG70" s="105">
        <f t="shared" si="44"/>
        <v>1.5140642992882227</v>
      </c>
      <c r="BH70" s="106">
        <f t="shared" si="44"/>
        <v>1.4181919099520308</v>
      </c>
      <c r="BK70" s="315" t="s">
        <v>65</v>
      </c>
    </row>
    <row r="71" spans="10:63" ht="13.5" thickBot="1">
      <c r="J71" s="56">
        <f t="shared" si="9"/>
        <v>27</v>
      </c>
      <c r="K71" s="68"/>
      <c r="L71" s="69"/>
      <c r="M71" s="124"/>
      <c r="N71" s="125"/>
      <c r="O71" s="124"/>
      <c r="P71" s="125"/>
      <c r="Q71" s="124"/>
      <c r="R71" s="125"/>
      <c r="S71" s="124"/>
      <c r="T71" s="125"/>
      <c r="U71" s="124"/>
      <c r="V71" s="125"/>
      <c r="W71" s="124">
        <f aca="true" t="shared" si="45" ref="W71:AG72">(50-$J71)^ne/((50-W$47)^ne-(50-$J71)^ne)</f>
        <v>5.304536435111381</v>
      </c>
      <c r="X71" s="125">
        <f t="shared" si="45"/>
        <v>4.176467150130263</v>
      </c>
      <c r="Y71" s="124">
        <f t="shared" si="45"/>
        <v>3.4571792381797013</v>
      </c>
      <c r="Z71" s="125">
        <f t="shared" si="45"/>
        <v>2.9581102116880973</v>
      </c>
      <c r="AA71" s="124">
        <f t="shared" si="45"/>
        <v>2.591251703668015</v>
      </c>
      <c r="AB71" s="125">
        <f t="shared" si="45"/>
        <v>2.310001988256275</v>
      </c>
      <c r="AC71" s="124">
        <f t="shared" si="45"/>
        <v>2.0873744075168306</v>
      </c>
      <c r="AD71" s="125">
        <f t="shared" si="45"/>
        <v>1.9066578594842698</v>
      </c>
      <c r="AE71" s="124">
        <f t="shared" si="45"/>
        <v>1.756949891772954</v>
      </c>
      <c r="AF71" s="125">
        <f t="shared" si="45"/>
        <v>1.6308337813668932</v>
      </c>
      <c r="AG71" s="124">
        <f t="shared" si="45"/>
        <v>1.5230879310152188</v>
      </c>
      <c r="AH71" s="70">
        <f t="shared" si="7"/>
        <v>23</v>
      </c>
      <c r="AJ71" s="71">
        <f t="shared" si="12"/>
        <v>27</v>
      </c>
      <c r="AK71" s="72">
        <v>23</v>
      </c>
      <c r="AL71" s="73"/>
      <c r="AM71" s="78"/>
      <c r="AN71" s="126"/>
      <c r="AO71" s="127"/>
      <c r="AP71" s="126"/>
      <c r="AQ71" s="128"/>
      <c r="AR71" s="126"/>
      <c r="AS71" s="129"/>
      <c r="AT71" s="130"/>
      <c r="AU71" s="128"/>
      <c r="AV71" s="126"/>
      <c r="AW71" s="136"/>
      <c r="AX71" s="79">
        <f aca="true" t="shared" si="46" ref="AX71:BH72">(50-$J71)^ne/((50-AX$46)^ne-(50-$J71)^ne)</f>
        <v>5.304536435111381</v>
      </c>
      <c r="AY71" s="85">
        <f t="shared" si="46"/>
        <v>4.176467150130263</v>
      </c>
      <c r="AZ71" s="86">
        <f t="shared" si="46"/>
        <v>3.4571792381797013</v>
      </c>
      <c r="BA71" s="86">
        <f t="shared" si="46"/>
        <v>2.9581102116880973</v>
      </c>
      <c r="BB71" s="94">
        <f t="shared" si="46"/>
        <v>2.591251703668015</v>
      </c>
      <c r="BC71" s="94">
        <f t="shared" si="46"/>
        <v>2.310001988256275</v>
      </c>
      <c r="BD71" s="95">
        <f t="shared" si="46"/>
        <v>2.0873744075168306</v>
      </c>
      <c r="BE71" s="94">
        <f t="shared" si="46"/>
        <v>1.9066578594842698</v>
      </c>
      <c r="BF71" s="105">
        <f t="shared" si="46"/>
        <v>1.756949891772954</v>
      </c>
      <c r="BG71" s="105">
        <f t="shared" si="46"/>
        <v>1.6308337813668932</v>
      </c>
      <c r="BH71" s="106">
        <f t="shared" si="46"/>
        <v>1.5230879310152188</v>
      </c>
      <c r="BK71" s="315"/>
    </row>
    <row r="72" spans="10:63" ht="13.5" thickBot="1">
      <c r="J72" s="56">
        <f t="shared" si="9"/>
        <v>26</v>
      </c>
      <c r="K72" s="57"/>
      <c r="L72" s="75"/>
      <c r="M72" s="115"/>
      <c r="N72" s="116"/>
      <c r="O72" s="115"/>
      <c r="P72" s="116"/>
      <c r="Q72" s="115"/>
      <c r="R72" s="116"/>
      <c r="S72" s="115"/>
      <c r="T72" s="116"/>
      <c r="U72" s="115"/>
      <c r="V72" s="116"/>
      <c r="W72" s="115">
        <f t="shared" si="45"/>
        <v>6.406575195295017</v>
      </c>
      <c r="X72" s="116">
        <f t="shared" si="45"/>
        <v>4.8633575464246706</v>
      </c>
      <c r="Y72" s="115">
        <f t="shared" si="45"/>
        <v>3.935824302043975</v>
      </c>
      <c r="Z72" s="116">
        <f t="shared" si="45"/>
        <v>3.3162503289581835</v>
      </c>
      <c r="AA72" s="115">
        <f t="shared" si="45"/>
        <v>2.8727397173722875</v>
      </c>
      <c r="AB72" s="116">
        <f t="shared" si="45"/>
        <v>2.5393346873723996</v>
      </c>
      <c r="AC72" s="115">
        <f t="shared" si="45"/>
        <v>2.279384797569952</v>
      </c>
      <c r="AD72" s="116">
        <f t="shared" si="45"/>
        <v>2.070894343399772</v>
      </c>
      <c r="AE72" s="115">
        <f t="shared" si="45"/>
        <v>1.8998618881928409</v>
      </c>
      <c r="AF72" s="116">
        <f t="shared" si="45"/>
        <v>1.756949891772954</v>
      </c>
      <c r="AG72" s="115">
        <f t="shared" si="45"/>
        <v>1.635691335693982</v>
      </c>
      <c r="AH72" s="70">
        <f t="shared" si="7"/>
        <v>24</v>
      </c>
      <c r="AJ72" s="71">
        <f t="shared" si="12"/>
        <v>26</v>
      </c>
      <c r="AK72" s="72">
        <v>24</v>
      </c>
      <c r="AL72" s="76"/>
      <c r="AM72" s="83"/>
      <c r="AN72" s="131"/>
      <c r="AO72" s="132"/>
      <c r="AP72" s="131"/>
      <c r="AQ72" s="133"/>
      <c r="AR72" s="131"/>
      <c r="AS72" s="134"/>
      <c r="AT72" s="135"/>
      <c r="AU72" s="133"/>
      <c r="AV72" s="131"/>
      <c r="AW72" s="137"/>
      <c r="AX72" s="79">
        <f t="shared" si="46"/>
        <v>6.406575195295017</v>
      </c>
      <c r="AY72" s="85">
        <f t="shared" si="46"/>
        <v>4.8633575464246706</v>
      </c>
      <c r="AZ72" s="86">
        <f t="shared" si="46"/>
        <v>3.935824302043975</v>
      </c>
      <c r="BA72" s="86">
        <f t="shared" si="46"/>
        <v>3.3162503289581835</v>
      </c>
      <c r="BB72" s="94">
        <f t="shared" si="46"/>
        <v>2.8727397173722875</v>
      </c>
      <c r="BC72" s="94">
        <f t="shared" si="46"/>
        <v>2.5393346873723996</v>
      </c>
      <c r="BD72" s="95">
        <f t="shared" si="46"/>
        <v>2.279384797569952</v>
      </c>
      <c r="BE72" s="94">
        <f t="shared" si="46"/>
        <v>2.070894343399772</v>
      </c>
      <c r="BF72" s="105">
        <f t="shared" si="46"/>
        <v>1.8998618881928409</v>
      </c>
      <c r="BG72" s="105">
        <f t="shared" si="46"/>
        <v>1.756949891772954</v>
      </c>
      <c r="BH72" s="106">
        <f t="shared" si="46"/>
        <v>1.635691335693982</v>
      </c>
      <c r="BK72" s="318" t="s">
        <v>66</v>
      </c>
    </row>
    <row r="73" spans="10:63" ht="13.5" thickBot="1">
      <c r="J73" s="56">
        <f t="shared" si="9"/>
        <v>25</v>
      </c>
      <c r="K73" s="68"/>
      <c r="L73" s="69"/>
      <c r="M73" s="68"/>
      <c r="N73" s="69"/>
      <c r="O73" s="68"/>
      <c r="P73" s="69"/>
      <c r="Q73" s="68"/>
      <c r="R73" s="69"/>
      <c r="S73" s="68"/>
      <c r="T73" s="69"/>
      <c r="U73" s="68"/>
      <c r="V73" s="69"/>
      <c r="W73" s="138"/>
      <c r="X73" s="125">
        <f aca="true" t="shared" si="47" ref="X73:AG74">(50-$J73)^ne/((50-X$47)^ne-(50-$J73)^ne)</f>
        <v>5.74548548680643</v>
      </c>
      <c r="Y73" s="124">
        <f t="shared" si="47"/>
        <v>4.5200202500439515</v>
      </c>
      <c r="Z73" s="125">
        <f t="shared" si="47"/>
        <v>3.738821454849901</v>
      </c>
      <c r="AA73" s="124">
        <f t="shared" si="47"/>
        <v>3.1969382337229653</v>
      </c>
      <c r="AB73" s="125">
        <f t="shared" si="47"/>
        <v>2.798716162767905</v>
      </c>
      <c r="AC73" s="124">
        <f t="shared" si="47"/>
        <v>2.493506858101857</v>
      </c>
      <c r="AD73" s="125">
        <f t="shared" si="47"/>
        <v>2.25198173183202</v>
      </c>
      <c r="AE73" s="124">
        <f t="shared" si="47"/>
        <v>2.055980535990105</v>
      </c>
      <c r="AF73" s="125">
        <f t="shared" si="47"/>
        <v>1.8936561727046657</v>
      </c>
      <c r="AG73" s="124">
        <f t="shared" si="47"/>
        <v>1.7569498917729538</v>
      </c>
      <c r="AH73" s="70">
        <f t="shared" si="7"/>
        <v>25</v>
      </c>
      <c r="AJ73" s="60">
        <f t="shared" si="12"/>
        <v>25</v>
      </c>
      <c r="AK73" s="61">
        <v>25</v>
      </c>
      <c r="AL73" s="89"/>
      <c r="AM73" s="90"/>
      <c r="AN73" s="91"/>
      <c r="AO73" s="108"/>
      <c r="AP73" s="91"/>
      <c r="AQ73" s="90"/>
      <c r="AR73" s="91"/>
      <c r="AS73" s="109"/>
      <c r="AT73" s="139"/>
      <c r="AU73" s="90"/>
      <c r="AV73" s="91"/>
      <c r="AW73" s="90"/>
      <c r="AX73" s="140"/>
      <c r="AY73" s="80">
        <f aca="true" t="shared" si="48" ref="AY73:BH74">(50-$J73)^ne/((50-AY$46)^ne-(50-$J73)^ne)</f>
        <v>5.74548548680643</v>
      </c>
      <c r="AZ73" s="84">
        <f t="shared" si="48"/>
        <v>4.5200202500439515</v>
      </c>
      <c r="BA73" s="86">
        <f t="shared" si="48"/>
        <v>3.738821454849901</v>
      </c>
      <c r="BB73" s="86">
        <f t="shared" si="48"/>
        <v>3.1969382337229653</v>
      </c>
      <c r="BC73" s="94">
        <f t="shared" si="48"/>
        <v>2.798716162767905</v>
      </c>
      <c r="BD73" s="95">
        <f t="shared" si="48"/>
        <v>2.493506858101857</v>
      </c>
      <c r="BE73" s="94">
        <f t="shared" si="48"/>
        <v>2.25198173183202</v>
      </c>
      <c r="BF73" s="105">
        <f t="shared" si="48"/>
        <v>2.055980535990105</v>
      </c>
      <c r="BG73" s="105">
        <f t="shared" si="48"/>
        <v>1.8936561727046657</v>
      </c>
      <c r="BH73" s="106">
        <f t="shared" si="48"/>
        <v>1.7569498917729538</v>
      </c>
      <c r="BK73" s="318"/>
    </row>
    <row r="74" spans="10:63" ht="13.5" thickBot="1">
      <c r="J74" s="56">
        <f t="shared" si="9"/>
        <v>24</v>
      </c>
      <c r="K74" s="57"/>
      <c r="L74" s="75"/>
      <c r="M74" s="57"/>
      <c r="N74" s="75"/>
      <c r="O74" s="57"/>
      <c r="P74" s="75"/>
      <c r="Q74" s="57"/>
      <c r="R74" s="75"/>
      <c r="S74" s="57"/>
      <c r="T74" s="75"/>
      <c r="U74" s="57"/>
      <c r="V74" s="75"/>
      <c r="W74" s="141"/>
      <c r="X74" s="116">
        <f t="shared" si="47"/>
        <v>6.920539832666441</v>
      </c>
      <c r="Y74" s="115">
        <f t="shared" si="47"/>
        <v>5.24940273911596</v>
      </c>
      <c r="Z74" s="116">
        <f t="shared" si="47"/>
        <v>4.24519731654992</v>
      </c>
      <c r="AA74" s="115">
        <f t="shared" si="47"/>
        <v>3.574562836794684</v>
      </c>
      <c r="AB74" s="116">
        <f t="shared" si="47"/>
        <v>3.0946187521690103</v>
      </c>
      <c r="AC74" s="115">
        <f t="shared" si="47"/>
        <v>2.733916337863833</v>
      </c>
      <c r="AD74" s="116">
        <f t="shared" si="47"/>
        <v>2.452755577362552</v>
      </c>
      <c r="AE74" s="115">
        <f t="shared" si="47"/>
        <v>2.2273116935598294</v>
      </c>
      <c r="AF74" s="116">
        <f t="shared" si="47"/>
        <v>2.0424197806084248</v>
      </c>
      <c r="AG74" s="115">
        <f t="shared" si="47"/>
        <v>1.8879670098206909</v>
      </c>
      <c r="AH74" s="70">
        <f t="shared" si="7"/>
        <v>26</v>
      </c>
      <c r="AJ74" s="71">
        <f t="shared" si="12"/>
        <v>24</v>
      </c>
      <c r="AK74" s="72">
        <v>26</v>
      </c>
      <c r="AL74" s="76"/>
      <c r="AM74" s="83"/>
      <c r="AN74" s="93"/>
      <c r="AO74" s="100"/>
      <c r="AP74" s="93"/>
      <c r="AQ74" s="83"/>
      <c r="AR74" s="93"/>
      <c r="AS74" s="110"/>
      <c r="AT74" s="113"/>
      <c r="AU74" s="83"/>
      <c r="AV74" s="93"/>
      <c r="AW74" s="83"/>
      <c r="AX74" s="142"/>
      <c r="AY74" s="80">
        <f t="shared" si="48"/>
        <v>6.920539832666441</v>
      </c>
      <c r="AZ74" s="84">
        <f t="shared" si="48"/>
        <v>5.24940273911596</v>
      </c>
      <c r="BA74" s="86">
        <f t="shared" si="48"/>
        <v>4.24519731654992</v>
      </c>
      <c r="BB74" s="86">
        <f t="shared" si="48"/>
        <v>3.574562836794684</v>
      </c>
      <c r="BC74" s="94">
        <f t="shared" si="48"/>
        <v>3.0946187521690103</v>
      </c>
      <c r="BD74" s="95">
        <f t="shared" si="48"/>
        <v>2.733916337863833</v>
      </c>
      <c r="BE74" s="94">
        <f t="shared" si="48"/>
        <v>2.452755577362552</v>
      </c>
      <c r="BF74" s="94">
        <f t="shared" si="48"/>
        <v>2.2273116935598294</v>
      </c>
      <c r="BG74" s="105">
        <f t="shared" si="48"/>
        <v>2.0424197806084248</v>
      </c>
      <c r="BH74" s="106">
        <f t="shared" si="48"/>
        <v>1.8879670098206909</v>
      </c>
      <c r="BK74" s="311">
        <f>BK62-BK50</f>
        <v>600</v>
      </c>
    </row>
    <row r="75" spans="10:63" ht="13.5" thickBot="1">
      <c r="J75" s="56">
        <f t="shared" si="9"/>
        <v>23</v>
      </c>
      <c r="K75" s="68"/>
      <c r="L75" s="69"/>
      <c r="M75" s="68"/>
      <c r="N75" s="69"/>
      <c r="O75" s="68"/>
      <c r="P75" s="69"/>
      <c r="Q75" s="68"/>
      <c r="R75" s="69"/>
      <c r="S75" s="68"/>
      <c r="T75" s="69"/>
      <c r="U75" s="68"/>
      <c r="V75" s="69"/>
      <c r="W75" s="138"/>
      <c r="X75" s="125"/>
      <c r="Y75" s="124">
        <f aca="true" t="shared" si="49" ref="Y75:AG76">(50-$J75)^ne/((50-Y$47)^ne-(50-$J75)^ne)</f>
        <v>6.186250558976298</v>
      </c>
      <c r="Z75" s="125">
        <f t="shared" si="49"/>
        <v>4.863357546424669</v>
      </c>
      <c r="AA75" s="124">
        <f t="shared" si="49"/>
        <v>4.020221796708953</v>
      </c>
      <c r="AB75" s="125">
        <f t="shared" si="49"/>
        <v>3.435502913816775</v>
      </c>
      <c r="AC75" s="124">
        <f t="shared" si="49"/>
        <v>3.0058995354070586</v>
      </c>
      <c r="AD75" s="125">
        <f t="shared" si="49"/>
        <v>2.6767159341540014</v>
      </c>
      <c r="AE75" s="124">
        <f t="shared" si="49"/>
        <v>2.416281053035418</v>
      </c>
      <c r="AF75" s="125">
        <f t="shared" si="49"/>
        <v>2.204985069486264</v>
      </c>
      <c r="AG75" s="124">
        <f t="shared" si="49"/>
        <v>2.0300358962111735</v>
      </c>
      <c r="AH75" s="70">
        <f t="shared" si="7"/>
        <v>27</v>
      </c>
      <c r="AJ75" s="71">
        <f t="shared" si="12"/>
        <v>23</v>
      </c>
      <c r="AK75" s="72">
        <v>27</v>
      </c>
      <c r="AL75" s="73"/>
      <c r="AM75" s="78"/>
      <c r="AN75" s="97"/>
      <c r="AO75" s="98"/>
      <c r="AP75" s="97"/>
      <c r="AQ75" s="78"/>
      <c r="AR75" s="97"/>
      <c r="AS75" s="111"/>
      <c r="AT75" s="114"/>
      <c r="AU75" s="78"/>
      <c r="AV75" s="97"/>
      <c r="AW75" s="78"/>
      <c r="AX75" s="143"/>
      <c r="AY75" s="127"/>
      <c r="AZ75" s="79">
        <f aca="true" t="shared" si="50" ref="AZ75:BH76">(50-$J75)^ne/((50-AZ$46)^ne-(50-$J75)^ne)</f>
        <v>6.186250558976298</v>
      </c>
      <c r="BA75" s="84">
        <f t="shared" si="50"/>
        <v>4.863357546424669</v>
      </c>
      <c r="BB75" s="86">
        <f t="shared" si="50"/>
        <v>4.020221796708953</v>
      </c>
      <c r="BC75" s="94">
        <f t="shared" si="50"/>
        <v>3.435502913816775</v>
      </c>
      <c r="BD75" s="95">
        <f t="shared" si="50"/>
        <v>3.0058995354070586</v>
      </c>
      <c r="BE75" s="94">
        <f t="shared" si="50"/>
        <v>2.6767159341540014</v>
      </c>
      <c r="BF75" s="94">
        <f t="shared" si="50"/>
        <v>2.416281053035418</v>
      </c>
      <c r="BG75" s="105">
        <f t="shared" si="50"/>
        <v>2.204985069486264</v>
      </c>
      <c r="BH75" s="96">
        <f t="shared" si="50"/>
        <v>2.0300358962111735</v>
      </c>
      <c r="BK75" s="312"/>
    </row>
    <row r="76" spans="10:63" ht="13.5" thickBot="1">
      <c r="J76" s="56">
        <f t="shared" si="9"/>
        <v>22</v>
      </c>
      <c r="K76" s="57"/>
      <c r="L76" s="75"/>
      <c r="M76" s="57"/>
      <c r="N76" s="75"/>
      <c r="O76" s="57"/>
      <c r="P76" s="75"/>
      <c r="Q76" s="57"/>
      <c r="R76" s="75"/>
      <c r="S76" s="57"/>
      <c r="T76" s="75"/>
      <c r="U76" s="57"/>
      <c r="V76" s="75"/>
      <c r="W76" s="141"/>
      <c r="X76" s="116"/>
      <c r="Y76" s="115">
        <f t="shared" si="49"/>
        <v>7.434355770418283</v>
      </c>
      <c r="Z76" s="116">
        <f t="shared" si="49"/>
        <v>5.635267035032415</v>
      </c>
      <c r="AA76" s="115">
        <f t="shared" si="49"/>
        <v>4.554362955253185</v>
      </c>
      <c r="AB76" s="116">
        <f t="shared" si="49"/>
        <v>3.8326460724760643</v>
      </c>
      <c r="AC76" s="115">
        <f t="shared" si="49"/>
        <v>3.316250328958177</v>
      </c>
      <c r="AD76" s="116">
        <f t="shared" si="49"/>
        <v>2.928235376282995</v>
      </c>
      <c r="AE76" s="115">
        <f t="shared" si="49"/>
        <v>2.6258510884534383</v>
      </c>
      <c r="AF76" s="116">
        <f t="shared" si="49"/>
        <v>2.3834431906872604</v>
      </c>
      <c r="AG76" s="115">
        <f t="shared" si="49"/>
        <v>2.184682966486298</v>
      </c>
      <c r="AH76" s="70">
        <f t="shared" si="7"/>
        <v>28</v>
      </c>
      <c r="AJ76" s="71">
        <f t="shared" si="12"/>
        <v>22</v>
      </c>
      <c r="AK76" s="72">
        <v>28</v>
      </c>
      <c r="AL76" s="76"/>
      <c r="AM76" s="83"/>
      <c r="AN76" s="93"/>
      <c r="AO76" s="100"/>
      <c r="AP76" s="93"/>
      <c r="AQ76" s="83"/>
      <c r="AR76" s="93"/>
      <c r="AS76" s="110"/>
      <c r="AT76" s="113"/>
      <c r="AU76" s="83"/>
      <c r="AV76" s="93"/>
      <c r="AW76" s="83"/>
      <c r="AX76" s="142"/>
      <c r="AY76" s="132"/>
      <c r="AZ76" s="79">
        <f t="shared" si="50"/>
        <v>7.434355770418283</v>
      </c>
      <c r="BA76" s="84">
        <f t="shared" si="50"/>
        <v>5.635267035032415</v>
      </c>
      <c r="BB76" s="86">
        <f t="shared" si="50"/>
        <v>4.554362955253185</v>
      </c>
      <c r="BC76" s="86">
        <f t="shared" si="50"/>
        <v>3.8326460724760643</v>
      </c>
      <c r="BD76" s="95">
        <f t="shared" si="50"/>
        <v>3.316250328958177</v>
      </c>
      <c r="BE76" s="94">
        <f t="shared" si="50"/>
        <v>2.928235376282995</v>
      </c>
      <c r="BF76" s="94">
        <f t="shared" si="50"/>
        <v>2.6258510884534383</v>
      </c>
      <c r="BG76" s="94">
        <f t="shared" si="50"/>
        <v>2.3834431906872604</v>
      </c>
      <c r="BH76" s="96">
        <f t="shared" si="50"/>
        <v>2.184682966486298</v>
      </c>
      <c r="BK76" s="316" t="s">
        <v>39</v>
      </c>
    </row>
    <row r="77" spans="10:63" ht="13.5" thickBot="1">
      <c r="J77" s="56">
        <f t="shared" si="9"/>
        <v>21</v>
      </c>
      <c r="K77" s="68"/>
      <c r="L77" s="69"/>
      <c r="M77" s="68"/>
      <c r="N77" s="69"/>
      <c r="O77" s="68"/>
      <c r="P77" s="69"/>
      <c r="Q77" s="68"/>
      <c r="R77" s="69"/>
      <c r="S77" s="68"/>
      <c r="T77" s="69"/>
      <c r="U77" s="68"/>
      <c r="V77" s="69"/>
      <c r="W77" s="138"/>
      <c r="X77" s="125"/>
      <c r="Y77" s="124"/>
      <c r="Z77" s="125">
        <f aca="true" t="shared" si="51" ref="Z77:AG78">(50-$J77)^ne/((50-Z$47)^ne-(50-$J77)^ne)</f>
        <v>6.626866038892482</v>
      </c>
      <c r="AA77" s="124">
        <f t="shared" si="51"/>
        <v>5.206518440290433</v>
      </c>
      <c r="AB77" s="125">
        <f t="shared" si="51"/>
        <v>4.301423483834</v>
      </c>
      <c r="AC77" s="124">
        <f t="shared" si="51"/>
        <v>3.673850382211404</v>
      </c>
      <c r="AD77" s="125">
        <f t="shared" si="51"/>
        <v>3.212850162716136</v>
      </c>
      <c r="AE77" s="124">
        <f t="shared" si="51"/>
        <v>2.8596792251621266</v>
      </c>
      <c r="AF77" s="125">
        <f t="shared" si="51"/>
        <v>2.580323621850899</v>
      </c>
      <c r="AG77" s="124">
        <f t="shared" si="51"/>
        <v>2.353723616753981</v>
      </c>
      <c r="AH77" s="70">
        <f t="shared" si="7"/>
        <v>29</v>
      </c>
      <c r="AJ77" s="71">
        <f t="shared" si="12"/>
        <v>21</v>
      </c>
      <c r="AK77" s="72">
        <v>29</v>
      </c>
      <c r="AL77" s="73"/>
      <c r="AM77" s="78"/>
      <c r="AN77" s="97"/>
      <c r="AO77" s="98"/>
      <c r="AP77" s="97"/>
      <c r="AQ77" s="78"/>
      <c r="AR77" s="97"/>
      <c r="AS77" s="111"/>
      <c r="AT77" s="114"/>
      <c r="AU77" s="78"/>
      <c r="AV77" s="97"/>
      <c r="AW77" s="78"/>
      <c r="AX77" s="143"/>
      <c r="AY77" s="127"/>
      <c r="AZ77" s="126"/>
      <c r="BA77" s="79">
        <f aca="true" t="shared" si="52" ref="BA77:BH78">(50-$J77)^ne/((50-BA$46)^ne-(50-$J77)^ne)</f>
        <v>6.626866038892482</v>
      </c>
      <c r="BB77" s="84">
        <f t="shared" si="52"/>
        <v>5.206518440290433</v>
      </c>
      <c r="BC77" s="86">
        <f t="shared" si="52"/>
        <v>4.301423483834</v>
      </c>
      <c r="BD77" s="95">
        <f t="shared" si="52"/>
        <v>3.673850382211404</v>
      </c>
      <c r="BE77" s="94">
        <f t="shared" si="52"/>
        <v>3.212850162716136</v>
      </c>
      <c r="BF77" s="94">
        <f t="shared" si="52"/>
        <v>2.8596792251621266</v>
      </c>
      <c r="BG77" s="94">
        <f t="shared" si="52"/>
        <v>2.580323621850899</v>
      </c>
      <c r="BH77" s="96">
        <f t="shared" si="52"/>
        <v>2.353723616753981</v>
      </c>
      <c r="BK77" s="317"/>
    </row>
    <row r="78" spans="10:63" ht="13.5" customHeight="1" thickBot="1">
      <c r="J78" s="56">
        <f t="shared" si="9"/>
        <v>20</v>
      </c>
      <c r="K78" s="57"/>
      <c r="L78" s="75"/>
      <c r="M78" s="57"/>
      <c r="N78" s="75"/>
      <c r="O78" s="57"/>
      <c r="P78" s="75"/>
      <c r="Q78" s="57"/>
      <c r="R78" s="75"/>
      <c r="S78" s="57"/>
      <c r="T78" s="75"/>
      <c r="U78" s="57"/>
      <c r="V78" s="75"/>
      <c r="W78" s="141"/>
      <c r="X78" s="116"/>
      <c r="Y78" s="115"/>
      <c r="Z78" s="116">
        <f t="shared" si="51"/>
        <v>7.948050282805917</v>
      </c>
      <c r="AA78" s="115">
        <f t="shared" si="51"/>
        <v>6.020982829040931</v>
      </c>
      <c r="AB78" s="116">
        <f t="shared" si="51"/>
        <v>4.863357546424673</v>
      </c>
      <c r="AC78" s="115">
        <f t="shared" si="51"/>
        <v>4.090539392493227</v>
      </c>
      <c r="AD78" s="116">
        <f t="shared" si="51"/>
        <v>3.5376761343484846</v>
      </c>
      <c r="AE78" s="115">
        <f t="shared" si="51"/>
        <v>3.1223352755543767</v>
      </c>
      <c r="AF78" s="116">
        <f t="shared" si="51"/>
        <v>2.7987161627679056</v>
      </c>
      <c r="AG78" s="115">
        <f t="shared" si="51"/>
        <v>2.5393346873723996</v>
      </c>
      <c r="AH78" s="70">
        <f t="shared" si="7"/>
        <v>30</v>
      </c>
      <c r="AJ78" s="60">
        <f t="shared" si="12"/>
        <v>20</v>
      </c>
      <c r="AK78" s="61">
        <v>30</v>
      </c>
      <c r="AL78" s="101"/>
      <c r="AM78" s="102"/>
      <c r="AN78" s="103"/>
      <c r="AO78" s="104"/>
      <c r="AP78" s="103"/>
      <c r="AQ78" s="102"/>
      <c r="AR78" s="103"/>
      <c r="AS78" s="144"/>
      <c r="AT78" s="145"/>
      <c r="AU78" s="102"/>
      <c r="AV78" s="103"/>
      <c r="AW78" s="102"/>
      <c r="AX78" s="146"/>
      <c r="AY78" s="147"/>
      <c r="AZ78" s="148"/>
      <c r="BA78" s="79">
        <f t="shared" si="52"/>
        <v>7.948050282805917</v>
      </c>
      <c r="BB78" s="84">
        <f t="shared" si="52"/>
        <v>6.020982829040931</v>
      </c>
      <c r="BC78" s="86">
        <f t="shared" si="52"/>
        <v>4.863357546424673</v>
      </c>
      <c r="BD78" s="92">
        <f t="shared" si="52"/>
        <v>4.090539392493227</v>
      </c>
      <c r="BE78" s="94">
        <f t="shared" si="52"/>
        <v>3.5376761343484846</v>
      </c>
      <c r="BF78" s="94">
        <f t="shared" si="52"/>
        <v>3.1223352755543767</v>
      </c>
      <c r="BG78" s="94">
        <f t="shared" si="52"/>
        <v>2.7987161627679056</v>
      </c>
      <c r="BH78" s="96">
        <f t="shared" si="52"/>
        <v>2.5393346873723996</v>
      </c>
      <c r="BK78" s="313">
        <f>INDEX($AL$48:$BH$92,$BN$55,$BN$67)</f>
        <v>1.5597220988589315</v>
      </c>
    </row>
    <row r="79" spans="10:65" ht="13.5" customHeight="1" thickBot="1">
      <c r="J79" s="56">
        <f t="shared" si="9"/>
        <v>19</v>
      </c>
      <c r="K79" s="68"/>
      <c r="L79" s="69"/>
      <c r="M79" s="68"/>
      <c r="N79" s="69"/>
      <c r="O79" s="68"/>
      <c r="P79" s="69"/>
      <c r="Q79" s="68"/>
      <c r="R79" s="69"/>
      <c r="S79" s="68"/>
      <c r="T79" s="69"/>
      <c r="U79" s="68"/>
      <c r="V79" s="69"/>
      <c r="W79" s="138"/>
      <c r="X79" s="125"/>
      <c r="Y79" s="124"/>
      <c r="Z79" s="125"/>
      <c r="AA79" s="124">
        <f aca="true" t="shared" si="53" ref="AA79:AG80">(50-$J79)^ne/((50-AA$47)^ne-(50-$J79)^ne)</f>
        <v>7.067358226995801</v>
      </c>
      <c r="AB79" s="125">
        <f t="shared" si="53"/>
        <v>5.549533256711954</v>
      </c>
      <c r="AC79" s="124">
        <f t="shared" si="53"/>
        <v>4.582459965600252</v>
      </c>
      <c r="AD79" s="125">
        <f t="shared" si="53"/>
        <v>3.9120165167775642</v>
      </c>
      <c r="AE79" s="124">
        <f t="shared" si="53"/>
        <v>3.419605807800014</v>
      </c>
      <c r="AF79" s="125">
        <f t="shared" si="53"/>
        <v>3.042435951496304</v>
      </c>
      <c r="AG79" s="124">
        <f t="shared" si="53"/>
        <v>2.7441497761164655</v>
      </c>
      <c r="AH79" s="70">
        <f t="shared" si="7"/>
        <v>31</v>
      </c>
      <c r="AJ79" s="71">
        <f t="shared" si="12"/>
        <v>19</v>
      </c>
      <c r="AK79" s="72">
        <v>31</v>
      </c>
      <c r="AL79" s="73"/>
      <c r="AM79" s="78"/>
      <c r="AN79" s="97"/>
      <c r="AO79" s="98"/>
      <c r="AP79" s="97"/>
      <c r="AQ79" s="78"/>
      <c r="AR79" s="97"/>
      <c r="AS79" s="111"/>
      <c r="AT79" s="114"/>
      <c r="AU79" s="78"/>
      <c r="AV79" s="97"/>
      <c r="AW79" s="78"/>
      <c r="AX79" s="143"/>
      <c r="AY79" s="127"/>
      <c r="AZ79" s="126"/>
      <c r="BA79" s="128"/>
      <c r="BB79" s="79">
        <f aca="true" t="shared" si="54" ref="BB79:BH80">(50-$J79)^ne/((50-BB$46)^ne-(50-$J79)^ne)</f>
        <v>7.067358226995801</v>
      </c>
      <c r="BC79" s="84">
        <f t="shared" si="54"/>
        <v>5.549533256711954</v>
      </c>
      <c r="BD79" s="92">
        <f t="shared" si="54"/>
        <v>4.582459965600252</v>
      </c>
      <c r="BE79" s="94">
        <f t="shared" si="54"/>
        <v>3.9120165167775642</v>
      </c>
      <c r="BF79" s="94">
        <f t="shared" si="54"/>
        <v>3.419605807800014</v>
      </c>
      <c r="BG79" s="94">
        <f t="shared" si="54"/>
        <v>3.042435951496304</v>
      </c>
      <c r="BH79" s="96">
        <f t="shared" si="54"/>
        <v>2.7441497761164655</v>
      </c>
      <c r="BK79" s="314">
        <f>INDEX($AM$48:$BI$92,$BN$55,$BN$67)</f>
        <v>1.4055797875338005</v>
      </c>
      <c r="BM79" s="149"/>
    </row>
    <row r="80" spans="10:63" ht="12.75" customHeight="1" thickBot="1">
      <c r="J80" s="56">
        <f t="shared" si="9"/>
        <v>18</v>
      </c>
      <c r="K80" s="57"/>
      <c r="L80" s="75"/>
      <c r="M80" s="57"/>
      <c r="N80" s="75"/>
      <c r="O80" s="57"/>
      <c r="P80" s="75"/>
      <c r="Q80" s="57"/>
      <c r="R80" s="75"/>
      <c r="S80" s="57"/>
      <c r="T80" s="75"/>
      <c r="U80" s="57"/>
      <c r="V80" s="75"/>
      <c r="W80" s="141"/>
      <c r="X80" s="116"/>
      <c r="Y80" s="115"/>
      <c r="Z80" s="116"/>
      <c r="AA80" s="115">
        <f t="shared" si="53"/>
        <v>8.461644347266336</v>
      </c>
      <c r="AB80" s="116">
        <f t="shared" si="53"/>
        <v>6.40657519529502</v>
      </c>
      <c r="AC80" s="115">
        <f t="shared" si="53"/>
        <v>5.1722093663569355</v>
      </c>
      <c r="AD80" s="116">
        <f t="shared" si="53"/>
        <v>4.348273582644932</v>
      </c>
      <c r="AE80" s="115">
        <f t="shared" si="53"/>
        <v>3.758928921781024</v>
      </c>
      <c r="AF80" s="116">
        <f t="shared" si="53"/>
        <v>3.3162503289581786</v>
      </c>
      <c r="AG80" s="115">
        <f t="shared" si="53"/>
        <v>2.971386292943718</v>
      </c>
      <c r="AH80" s="70">
        <f t="shared" si="7"/>
        <v>32</v>
      </c>
      <c r="AJ80" s="71">
        <f t="shared" si="12"/>
        <v>18</v>
      </c>
      <c r="AK80" s="72">
        <v>32</v>
      </c>
      <c r="AL80" s="76"/>
      <c r="AM80" s="83"/>
      <c r="AN80" s="93"/>
      <c r="AO80" s="100"/>
      <c r="AP80" s="93"/>
      <c r="AQ80" s="83"/>
      <c r="AR80" s="93"/>
      <c r="AS80" s="110"/>
      <c r="AT80" s="113"/>
      <c r="AU80" s="83"/>
      <c r="AV80" s="93"/>
      <c r="AW80" s="83"/>
      <c r="AX80" s="142"/>
      <c r="AY80" s="132"/>
      <c r="AZ80" s="131"/>
      <c r="BA80" s="133"/>
      <c r="BB80" s="79">
        <f t="shared" si="54"/>
        <v>8.461644347266336</v>
      </c>
      <c r="BC80" s="84">
        <f t="shared" si="54"/>
        <v>6.40657519529502</v>
      </c>
      <c r="BD80" s="92">
        <f t="shared" si="54"/>
        <v>5.1722093663569355</v>
      </c>
      <c r="BE80" s="86">
        <f t="shared" si="54"/>
        <v>4.348273582644932</v>
      </c>
      <c r="BF80" s="94">
        <f t="shared" si="54"/>
        <v>3.758928921781024</v>
      </c>
      <c r="BG80" s="94">
        <f t="shared" si="54"/>
        <v>3.3162503289581786</v>
      </c>
      <c r="BH80" s="96">
        <f t="shared" si="54"/>
        <v>2.971386292943718</v>
      </c>
      <c r="BK80" s="287" t="s">
        <v>67</v>
      </c>
    </row>
    <row r="81" spans="10:68" ht="12.75" customHeight="1" thickBot="1">
      <c r="J81" s="56">
        <f t="shared" si="9"/>
        <v>17</v>
      </c>
      <c r="K81" s="68"/>
      <c r="L81" s="69"/>
      <c r="M81" s="68"/>
      <c r="N81" s="69"/>
      <c r="O81" s="68"/>
      <c r="P81" s="69"/>
      <c r="Q81" s="68"/>
      <c r="R81" s="69"/>
      <c r="S81" s="68"/>
      <c r="T81" s="69"/>
      <c r="U81" s="68"/>
      <c r="V81" s="69"/>
      <c r="W81" s="138"/>
      <c r="X81" s="125"/>
      <c r="Y81" s="124"/>
      <c r="Z81" s="125"/>
      <c r="AA81" s="124"/>
      <c r="AB81" s="125">
        <f aca="true" t="shared" si="55" ref="AB81:AG82">(50-$J81)^ne/((50-AB$47)^ne-(50-$J81)^ne)</f>
        <v>7.507747586975088</v>
      </c>
      <c r="AC81" s="124">
        <f t="shared" si="55"/>
        <v>5.8924257241232185</v>
      </c>
      <c r="AD81" s="125">
        <f t="shared" si="55"/>
        <v>4.8633575464246706</v>
      </c>
      <c r="AE81" s="124">
        <f t="shared" si="55"/>
        <v>4.150029658132934</v>
      </c>
      <c r="AF81" s="125">
        <f t="shared" si="55"/>
        <v>3.626196420501292</v>
      </c>
      <c r="AG81" s="124">
        <f t="shared" si="55"/>
        <v>3.225017331690704</v>
      </c>
      <c r="AH81" s="70">
        <f t="shared" si="7"/>
        <v>33</v>
      </c>
      <c r="AJ81" s="71">
        <f t="shared" si="12"/>
        <v>17</v>
      </c>
      <c r="AK81" s="72">
        <v>33</v>
      </c>
      <c r="AL81" s="73"/>
      <c r="AM81" s="78"/>
      <c r="AN81" s="97"/>
      <c r="AO81" s="98"/>
      <c r="AP81" s="97"/>
      <c r="AQ81" s="78"/>
      <c r="AR81" s="97"/>
      <c r="AS81" s="111"/>
      <c r="AT81" s="114"/>
      <c r="AU81" s="78"/>
      <c r="AV81" s="97"/>
      <c r="AW81" s="78"/>
      <c r="AX81" s="143"/>
      <c r="AY81" s="127"/>
      <c r="AZ81" s="126"/>
      <c r="BA81" s="128"/>
      <c r="BB81" s="126"/>
      <c r="BC81" s="79">
        <f aca="true" t="shared" si="56" ref="BC81:BH82">(50-$J81)^ne/((50-BC$46)^ne-(50-$J81)^ne)</f>
        <v>7.507747586975088</v>
      </c>
      <c r="BD81" s="85">
        <f t="shared" si="56"/>
        <v>5.8924257241232185</v>
      </c>
      <c r="BE81" s="86">
        <f t="shared" si="56"/>
        <v>4.8633575464246706</v>
      </c>
      <c r="BF81" s="94">
        <f t="shared" si="56"/>
        <v>4.150029658132934</v>
      </c>
      <c r="BG81" s="94">
        <f t="shared" si="56"/>
        <v>3.626196420501292</v>
      </c>
      <c r="BH81" s="96">
        <f t="shared" si="56"/>
        <v>3.225017331690704</v>
      </c>
      <c r="BK81" s="288"/>
      <c r="BO81" s="285" t="s">
        <v>68</v>
      </c>
      <c r="BP81" s="285" t="s">
        <v>69</v>
      </c>
    </row>
    <row r="82" spans="10:68" ht="13.5" customHeight="1" thickBot="1">
      <c r="J82" s="56">
        <f t="shared" si="9"/>
        <v>16</v>
      </c>
      <c r="K82" s="57"/>
      <c r="L82" s="75"/>
      <c r="M82" s="57"/>
      <c r="N82" s="75"/>
      <c r="O82" s="57"/>
      <c r="P82" s="75"/>
      <c r="Q82" s="57"/>
      <c r="R82" s="75"/>
      <c r="S82" s="57"/>
      <c r="T82" s="75"/>
      <c r="U82" s="57"/>
      <c r="V82" s="75"/>
      <c r="W82" s="141"/>
      <c r="X82" s="116"/>
      <c r="Y82" s="115"/>
      <c r="Z82" s="116"/>
      <c r="AA82" s="115"/>
      <c r="AB82" s="116">
        <f t="shared" si="55"/>
        <v>8.975154365113982</v>
      </c>
      <c r="AC82" s="115">
        <f t="shared" si="55"/>
        <v>6.792063849701428</v>
      </c>
      <c r="AD82" s="116">
        <f t="shared" si="55"/>
        <v>5.4809407612010475</v>
      </c>
      <c r="AE82" s="115">
        <f t="shared" si="55"/>
        <v>4.605873082171267</v>
      </c>
      <c r="AF82" s="116">
        <f t="shared" si="55"/>
        <v>3.9800347979706667</v>
      </c>
      <c r="AG82" s="115">
        <f t="shared" si="55"/>
        <v>3.5100079706142724</v>
      </c>
      <c r="AH82" s="70">
        <f t="shared" si="7"/>
        <v>34</v>
      </c>
      <c r="AJ82" s="71">
        <f t="shared" si="12"/>
        <v>16</v>
      </c>
      <c r="AK82" s="72">
        <v>34</v>
      </c>
      <c r="AL82" s="76"/>
      <c r="AM82" s="83"/>
      <c r="AN82" s="93"/>
      <c r="AO82" s="100"/>
      <c r="AP82" s="93"/>
      <c r="AQ82" s="83"/>
      <c r="AR82" s="93"/>
      <c r="AS82" s="110"/>
      <c r="AT82" s="113"/>
      <c r="AU82" s="83"/>
      <c r="AV82" s="93"/>
      <c r="AW82" s="83"/>
      <c r="AX82" s="142"/>
      <c r="AY82" s="132"/>
      <c r="AZ82" s="131"/>
      <c r="BA82" s="133"/>
      <c r="BB82" s="131"/>
      <c r="BC82" s="79">
        <f t="shared" si="56"/>
        <v>8.975154365113982</v>
      </c>
      <c r="BD82" s="85">
        <f t="shared" si="56"/>
        <v>6.792063849701428</v>
      </c>
      <c r="BE82" s="86">
        <f t="shared" si="56"/>
        <v>5.4809407612010475</v>
      </c>
      <c r="BF82" s="86">
        <f t="shared" si="56"/>
        <v>4.605873082171267</v>
      </c>
      <c r="BG82" s="94">
        <f t="shared" si="56"/>
        <v>3.9800347979706667</v>
      </c>
      <c r="BH82" s="96">
        <f t="shared" si="56"/>
        <v>3.5100079706142724</v>
      </c>
      <c r="BK82" s="289"/>
      <c r="BO82" s="286"/>
      <c r="BP82" s="286"/>
    </row>
    <row r="83" spans="10:68" ht="13.5" thickBot="1">
      <c r="J83" s="56">
        <f t="shared" si="9"/>
        <v>15</v>
      </c>
      <c r="K83" s="68"/>
      <c r="L83" s="69"/>
      <c r="M83" s="68"/>
      <c r="N83" s="69"/>
      <c r="O83" s="68"/>
      <c r="P83" s="69"/>
      <c r="Q83" s="68"/>
      <c r="R83" s="69"/>
      <c r="S83" s="68"/>
      <c r="T83" s="69"/>
      <c r="U83" s="68"/>
      <c r="V83" s="69"/>
      <c r="W83" s="138"/>
      <c r="X83" s="125"/>
      <c r="Y83" s="124"/>
      <c r="Z83" s="125"/>
      <c r="AA83" s="124"/>
      <c r="AB83" s="125"/>
      <c r="AC83" s="124">
        <f aca="true" t="shared" si="57" ref="AC83:AG84">(50-$J83)^ne/((50-AC$47)^ne-(50-$J83)^ne)</f>
        <v>7.948050282805881</v>
      </c>
      <c r="AD83" s="125">
        <f t="shared" si="57"/>
        <v>6.235214680698809</v>
      </c>
      <c r="AE83" s="124">
        <f t="shared" si="57"/>
        <v>5.14413720458566</v>
      </c>
      <c r="AF83" s="125">
        <f t="shared" si="57"/>
        <v>4.387912500837815</v>
      </c>
      <c r="AG83" s="124">
        <f t="shared" si="57"/>
        <v>3.8326460724760634</v>
      </c>
      <c r="AH83" s="70">
        <f t="shared" si="7"/>
        <v>35</v>
      </c>
      <c r="AJ83" s="60">
        <f t="shared" si="12"/>
        <v>15</v>
      </c>
      <c r="AK83" s="61">
        <v>35</v>
      </c>
      <c r="AL83" s="89"/>
      <c r="AM83" s="90"/>
      <c r="AN83" s="91"/>
      <c r="AO83" s="108"/>
      <c r="AP83" s="91"/>
      <c r="AQ83" s="90"/>
      <c r="AR83" s="91"/>
      <c r="AS83" s="109"/>
      <c r="AT83" s="139"/>
      <c r="AU83" s="90"/>
      <c r="AV83" s="91"/>
      <c r="AW83" s="90"/>
      <c r="AX83" s="140"/>
      <c r="AY83" s="150"/>
      <c r="AZ83" s="151"/>
      <c r="BA83" s="152"/>
      <c r="BB83" s="151"/>
      <c r="BC83" s="153"/>
      <c r="BD83" s="80">
        <f aca="true" t="shared" si="58" ref="BD83:BH84">(50-$J83)^ne/((50-BD$46)^ne-(50-$J83)^ne)</f>
        <v>7.948050282805881</v>
      </c>
      <c r="BE83" s="84">
        <f t="shared" si="58"/>
        <v>6.235214680698809</v>
      </c>
      <c r="BF83" s="86">
        <f t="shared" si="58"/>
        <v>5.14413720458566</v>
      </c>
      <c r="BG83" s="94">
        <f t="shared" si="58"/>
        <v>4.387912500837815</v>
      </c>
      <c r="BH83" s="87">
        <f t="shared" si="58"/>
        <v>3.8326460724760634</v>
      </c>
      <c r="BK83" s="311">
        <f>BK78*BK74</f>
        <v>935.8332593153589</v>
      </c>
      <c r="BN83" s="154">
        <v>0.1</v>
      </c>
      <c r="BO83" s="155">
        <f>BK83*0.9</f>
        <v>842.249933383823</v>
      </c>
      <c r="BP83" s="155">
        <f>BK83*1.1</f>
        <v>1029.4165852468948</v>
      </c>
    </row>
    <row r="84" spans="10:68" ht="13.5" thickBot="1">
      <c r="J84" s="56">
        <f t="shared" si="9"/>
        <v>14</v>
      </c>
      <c r="K84" s="57"/>
      <c r="L84" s="75"/>
      <c r="M84" s="57"/>
      <c r="N84" s="75"/>
      <c r="O84" s="57"/>
      <c r="P84" s="75"/>
      <c r="Q84" s="57"/>
      <c r="R84" s="75"/>
      <c r="S84" s="57"/>
      <c r="T84" s="75"/>
      <c r="U84" s="57"/>
      <c r="V84" s="75"/>
      <c r="W84" s="141"/>
      <c r="X84" s="116"/>
      <c r="Y84" s="115"/>
      <c r="Z84" s="116"/>
      <c r="AA84" s="115"/>
      <c r="AB84" s="116"/>
      <c r="AC84" s="115">
        <f t="shared" si="57"/>
        <v>9.488593346488457</v>
      </c>
      <c r="AD84" s="116">
        <f t="shared" si="57"/>
        <v>7.177464511827059</v>
      </c>
      <c r="AE84" s="115">
        <f t="shared" si="57"/>
        <v>5.789569629258242</v>
      </c>
      <c r="AF84" s="116">
        <f t="shared" si="57"/>
        <v>4.863357546424661</v>
      </c>
      <c r="AG84" s="115">
        <f t="shared" si="57"/>
        <v>4.201014837360896</v>
      </c>
      <c r="AH84" s="70">
        <f t="shared" si="7"/>
        <v>36</v>
      </c>
      <c r="AJ84" s="71">
        <f t="shared" si="12"/>
        <v>14</v>
      </c>
      <c r="AK84" s="72">
        <v>36</v>
      </c>
      <c r="AL84" s="76"/>
      <c r="AM84" s="83"/>
      <c r="AN84" s="93"/>
      <c r="AO84" s="100"/>
      <c r="AP84" s="93"/>
      <c r="AQ84" s="83"/>
      <c r="AR84" s="93"/>
      <c r="AS84" s="110"/>
      <c r="AT84" s="113"/>
      <c r="AU84" s="83"/>
      <c r="AV84" s="93"/>
      <c r="AW84" s="83"/>
      <c r="AX84" s="142"/>
      <c r="AY84" s="132"/>
      <c r="AZ84" s="131"/>
      <c r="BA84" s="133"/>
      <c r="BB84" s="131"/>
      <c r="BC84" s="134"/>
      <c r="BD84" s="80">
        <f t="shared" si="58"/>
        <v>9.488593346488457</v>
      </c>
      <c r="BE84" s="84">
        <f t="shared" si="58"/>
        <v>7.177464511827059</v>
      </c>
      <c r="BF84" s="86">
        <f t="shared" si="58"/>
        <v>5.789569629258242</v>
      </c>
      <c r="BG84" s="86">
        <f t="shared" si="58"/>
        <v>4.863357546424661</v>
      </c>
      <c r="BH84" s="87">
        <f t="shared" si="58"/>
        <v>4.201014837360896</v>
      </c>
      <c r="BK84" s="312"/>
      <c r="BN84" s="156">
        <v>0.15</v>
      </c>
      <c r="BO84" s="157">
        <f>BK83*0.85</f>
        <v>795.458270418055</v>
      </c>
      <c r="BP84" s="157">
        <f>BK83*1.15</f>
        <v>1076.2082482126625</v>
      </c>
    </row>
    <row r="85" spans="10:68" ht="13.5" thickBot="1">
      <c r="J85" s="56">
        <f t="shared" si="9"/>
        <v>13</v>
      </c>
      <c r="K85" s="68"/>
      <c r="L85" s="69"/>
      <c r="M85" s="68"/>
      <c r="N85" s="69"/>
      <c r="O85" s="68"/>
      <c r="P85" s="69"/>
      <c r="Q85" s="68"/>
      <c r="R85" s="69"/>
      <c r="S85" s="68"/>
      <c r="T85" s="69"/>
      <c r="U85" s="68"/>
      <c r="V85" s="69"/>
      <c r="W85" s="138"/>
      <c r="X85" s="125"/>
      <c r="Y85" s="124"/>
      <c r="Z85" s="125"/>
      <c r="AA85" s="124"/>
      <c r="AB85" s="125"/>
      <c r="AC85" s="124"/>
      <c r="AD85" s="125">
        <f aca="true" t="shared" si="59" ref="AD85:AG86">(50-$J85)^ne/((50-AD$47)^ne-(50-$J85)^ne)</f>
        <v>8.388279253573238</v>
      </c>
      <c r="AE85" s="124">
        <f t="shared" si="59"/>
        <v>6.577915275745157</v>
      </c>
      <c r="AF85" s="125">
        <f t="shared" si="59"/>
        <v>5.424815880344265</v>
      </c>
      <c r="AG85" s="124">
        <f t="shared" si="59"/>
        <v>4.625683439652064</v>
      </c>
      <c r="AH85" s="70">
        <f t="shared" si="7"/>
        <v>37</v>
      </c>
      <c r="AJ85" s="71">
        <f t="shared" si="12"/>
        <v>13</v>
      </c>
      <c r="AK85" s="72">
        <v>37</v>
      </c>
      <c r="AL85" s="73"/>
      <c r="AM85" s="78"/>
      <c r="AN85" s="97"/>
      <c r="AO85" s="98"/>
      <c r="AP85" s="97"/>
      <c r="AQ85" s="78"/>
      <c r="AR85" s="97"/>
      <c r="AS85" s="111"/>
      <c r="AT85" s="114"/>
      <c r="AU85" s="78"/>
      <c r="AV85" s="97"/>
      <c r="AW85" s="78"/>
      <c r="AX85" s="143"/>
      <c r="AY85" s="127"/>
      <c r="AZ85" s="126"/>
      <c r="BA85" s="128"/>
      <c r="BB85" s="126"/>
      <c r="BC85" s="129"/>
      <c r="BD85" s="130"/>
      <c r="BE85" s="84">
        <f aca="true" t="shared" si="60" ref="BE85:BH86">(50-$J85)^ne/((50-BE$46)^ne-(50-$J85)^ne)</f>
        <v>8.388279253573238</v>
      </c>
      <c r="BF85" s="84">
        <f t="shared" si="60"/>
        <v>6.577915275745157</v>
      </c>
      <c r="BG85" s="86">
        <f t="shared" si="60"/>
        <v>5.424815880344265</v>
      </c>
      <c r="BH85" s="87">
        <f t="shared" si="60"/>
        <v>4.625683439652064</v>
      </c>
      <c r="BK85" s="158"/>
      <c r="BN85" s="154">
        <v>0.2</v>
      </c>
      <c r="BO85" s="155">
        <f>BK83*0.8</f>
        <v>748.6666074522872</v>
      </c>
      <c r="BP85" s="155">
        <f>BK83*1.2</f>
        <v>1122.9999111784307</v>
      </c>
    </row>
    <row r="86" spans="10:68" ht="13.5" thickBot="1">
      <c r="J86" s="56">
        <f t="shared" si="9"/>
        <v>12</v>
      </c>
      <c r="K86" s="57"/>
      <c r="L86" s="75"/>
      <c r="M86" s="57"/>
      <c r="N86" s="75"/>
      <c r="O86" s="57"/>
      <c r="P86" s="75"/>
      <c r="Q86" s="57"/>
      <c r="R86" s="75"/>
      <c r="S86" s="57"/>
      <c r="T86" s="75"/>
      <c r="U86" s="57"/>
      <c r="V86" s="75"/>
      <c r="W86" s="141"/>
      <c r="X86" s="116"/>
      <c r="Y86" s="115"/>
      <c r="Z86" s="116"/>
      <c r="AA86" s="115"/>
      <c r="AB86" s="116"/>
      <c r="AC86" s="115"/>
      <c r="AD86" s="116">
        <f t="shared" si="59"/>
        <v>10.001971744792783</v>
      </c>
      <c r="AE86" s="115">
        <f t="shared" si="59"/>
        <v>7.562789870678823</v>
      </c>
      <c r="AF86" s="116">
        <f t="shared" si="59"/>
        <v>6.098110478509929</v>
      </c>
      <c r="AG86" s="115">
        <f t="shared" si="59"/>
        <v>5.120742967635299</v>
      </c>
      <c r="AH86" s="70">
        <f t="shared" si="7"/>
        <v>38</v>
      </c>
      <c r="AJ86" s="71">
        <f t="shared" si="12"/>
        <v>12</v>
      </c>
      <c r="AK86" s="72">
        <v>38</v>
      </c>
      <c r="AL86" s="76"/>
      <c r="AM86" s="83"/>
      <c r="AN86" s="93"/>
      <c r="AO86" s="100"/>
      <c r="AP86" s="93"/>
      <c r="AQ86" s="83"/>
      <c r="AR86" s="93"/>
      <c r="AS86" s="110"/>
      <c r="AT86" s="113"/>
      <c r="AU86" s="83"/>
      <c r="AV86" s="93"/>
      <c r="AW86" s="83"/>
      <c r="AX86" s="142"/>
      <c r="AY86" s="132"/>
      <c r="AZ86" s="131"/>
      <c r="BA86" s="133"/>
      <c r="BB86" s="131"/>
      <c r="BC86" s="134"/>
      <c r="BD86" s="135"/>
      <c r="BE86" s="79">
        <f t="shared" si="60"/>
        <v>10.001971744792783</v>
      </c>
      <c r="BF86" s="84">
        <f t="shared" si="60"/>
        <v>7.562789870678823</v>
      </c>
      <c r="BG86" s="86">
        <f t="shared" si="60"/>
        <v>6.098110478509929</v>
      </c>
      <c r="BH86" s="159">
        <f t="shared" si="60"/>
        <v>5.120742967635299</v>
      </c>
      <c r="BK86" s="303" t="s">
        <v>70</v>
      </c>
      <c r="BN86" s="156">
        <v>0.25</v>
      </c>
      <c r="BO86" s="157">
        <f>BK83*0.75</f>
        <v>701.8749444865191</v>
      </c>
      <c r="BP86" s="157">
        <f>BK83*1.25</f>
        <v>1169.7915741441986</v>
      </c>
    </row>
    <row r="87" spans="10:63" ht="13.5" thickBot="1">
      <c r="J87" s="56">
        <f t="shared" si="9"/>
        <v>11</v>
      </c>
      <c r="K87" s="68"/>
      <c r="L87" s="69"/>
      <c r="M87" s="68"/>
      <c r="N87" s="69"/>
      <c r="O87" s="68"/>
      <c r="P87" s="69"/>
      <c r="Q87" s="68"/>
      <c r="R87" s="69"/>
      <c r="S87" s="68"/>
      <c r="T87" s="69"/>
      <c r="U87" s="68"/>
      <c r="V87" s="69"/>
      <c r="W87" s="138"/>
      <c r="X87" s="125"/>
      <c r="Y87" s="124"/>
      <c r="Z87" s="125"/>
      <c r="AA87" s="124"/>
      <c r="AB87" s="125"/>
      <c r="AC87" s="124"/>
      <c r="AD87" s="125"/>
      <c r="AE87" s="124">
        <f aca="true" t="shared" si="61" ref="AE87:AG88">(50-$J87)^ne/((50-AE$47)^ne-(50-$J87)^ne)</f>
        <v>8.8284449807433</v>
      </c>
      <c r="AF87" s="125">
        <f t="shared" si="61"/>
        <v>6.920539832666444</v>
      </c>
      <c r="AG87" s="124">
        <f t="shared" si="61"/>
        <v>5.705407406229272</v>
      </c>
      <c r="AH87" s="70">
        <f t="shared" si="7"/>
        <v>39</v>
      </c>
      <c r="AJ87" s="71">
        <f t="shared" si="12"/>
        <v>11</v>
      </c>
      <c r="AK87" s="72">
        <v>39</v>
      </c>
      <c r="AL87" s="73"/>
      <c r="AM87" s="78"/>
      <c r="AN87" s="97"/>
      <c r="AO87" s="98"/>
      <c r="AP87" s="97"/>
      <c r="AQ87" s="78"/>
      <c r="AR87" s="97"/>
      <c r="AS87" s="111"/>
      <c r="AT87" s="114"/>
      <c r="AU87" s="78"/>
      <c r="AV87" s="97"/>
      <c r="AW87" s="78"/>
      <c r="AX87" s="143"/>
      <c r="AY87" s="127"/>
      <c r="AZ87" s="126"/>
      <c r="BA87" s="128"/>
      <c r="BB87" s="126"/>
      <c r="BC87" s="129"/>
      <c r="BD87" s="130"/>
      <c r="BE87" s="128"/>
      <c r="BF87" s="84">
        <f aca="true" t="shared" si="62" ref="BF87:BH88">(50-$J87)^ne/((50-BF$46)^ne-(50-$J87)^ne)</f>
        <v>8.8284449807433</v>
      </c>
      <c r="BG87" s="84">
        <f t="shared" si="62"/>
        <v>6.920539832666444</v>
      </c>
      <c r="BH87" s="159">
        <f t="shared" si="62"/>
        <v>5.705407406229272</v>
      </c>
      <c r="BK87" s="304"/>
    </row>
    <row r="88" spans="10:63" ht="13.5" thickBot="1">
      <c r="J88" s="56">
        <f t="shared" si="9"/>
        <v>10</v>
      </c>
      <c r="K88" s="57"/>
      <c r="L88" s="75"/>
      <c r="M88" s="57"/>
      <c r="N88" s="75"/>
      <c r="O88" s="57"/>
      <c r="P88" s="75"/>
      <c r="Q88" s="57"/>
      <c r="R88" s="75"/>
      <c r="S88" s="57"/>
      <c r="T88" s="75"/>
      <c r="U88" s="57"/>
      <c r="V88" s="75"/>
      <c r="W88" s="141"/>
      <c r="X88" s="116"/>
      <c r="Y88" s="115"/>
      <c r="Z88" s="116"/>
      <c r="AA88" s="115"/>
      <c r="AB88" s="116"/>
      <c r="AC88" s="115"/>
      <c r="AD88" s="116"/>
      <c r="AE88" s="115">
        <f t="shared" si="61"/>
        <v>10.515298056031353</v>
      </c>
      <c r="AF88" s="116">
        <f t="shared" si="61"/>
        <v>7.948050282805886</v>
      </c>
      <c r="AG88" s="115">
        <f t="shared" si="61"/>
        <v>6.406575195295016</v>
      </c>
      <c r="AH88" s="70">
        <f t="shared" si="7"/>
        <v>40</v>
      </c>
      <c r="AJ88" s="60">
        <f t="shared" si="12"/>
        <v>10</v>
      </c>
      <c r="AK88" s="61">
        <v>40</v>
      </c>
      <c r="AL88" s="101"/>
      <c r="AM88" s="102"/>
      <c r="AN88" s="103"/>
      <c r="AO88" s="104"/>
      <c r="AP88" s="103"/>
      <c r="AQ88" s="102"/>
      <c r="AR88" s="103"/>
      <c r="AS88" s="144"/>
      <c r="AT88" s="145"/>
      <c r="AU88" s="102"/>
      <c r="AV88" s="103"/>
      <c r="AW88" s="102"/>
      <c r="AX88" s="146"/>
      <c r="AY88" s="147"/>
      <c r="AZ88" s="148"/>
      <c r="BA88" s="123"/>
      <c r="BB88" s="148"/>
      <c r="BC88" s="121"/>
      <c r="BD88" s="122"/>
      <c r="BE88" s="123"/>
      <c r="BF88" s="79">
        <f t="shared" si="62"/>
        <v>10.515298056031353</v>
      </c>
      <c r="BG88" s="84">
        <f t="shared" si="62"/>
        <v>7.948050282805886</v>
      </c>
      <c r="BH88" s="159">
        <f t="shared" si="62"/>
        <v>6.406575195295016</v>
      </c>
      <c r="BK88" s="305">
        <f>BK83/10</f>
        <v>93.58332593153588</v>
      </c>
    </row>
    <row r="89" spans="10:63" ht="13.5" thickBot="1">
      <c r="J89" s="56">
        <f t="shared" si="9"/>
        <v>9</v>
      </c>
      <c r="K89" s="68"/>
      <c r="L89" s="69"/>
      <c r="M89" s="68"/>
      <c r="N89" s="69"/>
      <c r="O89" s="68"/>
      <c r="P89" s="69"/>
      <c r="Q89" s="68"/>
      <c r="R89" s="69"/>
      <c r="S89" s="68"/>
      <c r="T89" s="69"/>
      <c r="U89" s="68"/>
      <c r="V89" s="69"/>
      <c r="W89" s="138"/>
      <c r="X89" s="125"/>
      <c r="Y89" s="124"/>
      <c r="Z89" s="125"/>
      <c r="AA89" s="124"/>
      <c r="AB89" s="125"/>
      <c r="AC89" s="124"/>
      <c r="AD89" s="125"/>
      <c r="AE89" s="124"/>
      <c r="AF89" s="125">
        <f>(50-$J89)^ne/((50-AF$47)^ne-(50-$J89)^ne)</f>
        <v>9.268556046021246</v>
      </c>
      <c r="AG89" s="124">
        <f>(50-$J89)^ne/((50-AG$47)^ne-(50-$J89)^ne)</f>
        <v>7.263098479976018</v>
      </c>
      <c r="AH89" s="70">
        <f t="shared" si="7"/>
        <v>41</v>
      </c>
      <c r="AJ89" s="71">
        <f t="shared" si="12"/>
        <v>9</v>
      </c>
      <c r="AK89" s="72">
        <v>41</v>
      </c>
      <c r="AL89" s="73"/>
      <c r="AM89" s="78"/>
      <c r="AN89" s="97"/>
      <c r="AO89" s="98"/>
      <c r="AP89" s="97"/>
      <c r="AQ89" s="78"/>
      <c r="AR89" s="97"/>
      <c r="AS89" s="111"/>
      <c r="AT89" s="114"/>
      <c r="AU89" s="78"/>
      <c r="AV89" s="97"/>
      <c r="AW89" s="78"/>
      <c r="AX89" s="143"/>
      <c r="AY89" s="127"/>
      <c r="AZ89" s="126"/>
      <c r="BA89" s="128"/>
      <c r="BB89" s="126"/>
      <c r="BC89" s="129"/>
      <c r="BD89" s="130"/>
      <c r="BE89" s="128"/>
      <c r="BF89" s="126"/>
      <c r="BG89" s="84">
        <f>(50-$J89)^ne/((50-BG$46)^ne-(50-$J89)^ne)</f>
        <v>9.268556046021246</v>
      </c>
      <c r="BH89" s="81">
        <f>(50-$J89)^ne/((50-BH$46)^ne-(50-$J89)^ne)</f>
        <v>7.263098479976018</v>
      </c>
      <c r="BK89" s="306"/>
    </row>
    <row r="90" spans="10:60" ht="13.5" thickBot="1">
      <c r="J90" s="56">
        <f t="shared" si="9"/>
        <v>8</v>
      </c>
      <c r="K90" s="57"/>
      <c r="L90" s="75"/>
      <c r="M90" s="57"/>
      <c r="N90" s="75"/>
      <c r="O90" s="57"/>
      <c r="P90" s="75"/>
      <c r="Q90" s="57"/>
      <c r="R90" s="75"/>
      <c r="S90" s="57"/>
      <c r="T90" s="75"/>
      <c r="U90" s="57"/>
      <c r="V90" s="75"/>
      <c r="W90" s="141"/>
      <c r="X90" s="116"/>
      <c r="Y90" s="115"/>
      <c r="Z90" s="116"/>
      <c r="AA90" s="115"/>
      <c r="AB90" s="116"/>
      <c r="AC90" s="115"/>
      <c r="AD90" s="116"/>
      <c r="AE90" s="115"/>
      <c r="AF90" s="116">
        <f>(50-$J90)^ne/((50-AF$47)^ne-(50-$J90)^ne)</f>
        <v>11.028579256936593</v>
      </c>
      <c r="AG90" s="115">
        <f>(50-$J90)^ne/((50-AG$47)^ne-(50-$J90)^ne)</f>
        <v>8.333254285601715</v>
      </c>
      <c r="AH90" s="70">
        <f t="shared" si="7"/>
        <v>42</v>
      </c>
      <c r="AJ90" s="71">
        <f t="shared" si="12"/>
        <v>8</v>
      </c>
      <c r="AK90" s="72">
        <v>42</v>
      </c>
      <c r="AL90" s="76"/>
      <c r="AM90" s="83"/>
      <c r="AN90" s="93"/>
      <c r="AO90" s="100"/>
      <c r="AP90" s="93"/>
      <c r="AQ90" s="83"/>
      <c r="AR90" s="93"/>
      <c r="AS90" s="110"/>
      <c r="AT90" s="113"/>
      <c r="AU90" s="83"/>
      <c r="AV90" s="93"/>
      <c r="AW90" s="83"/>
      <c r="AX90" s="142"/>
      <c r="AY90" s="132"/>
      <c r="AZ90" s="131"/>
      <c r="BA90" s="133"/>
      <c r="BB90" s="131"/>
      <c r="BC90" s="134"/>
      <c r="BD90" s="135"/>
      <c r="BE90" s="133"/>
      <c r="BF90" s="131"/>
      <c r="BG90" s="79">
        <f>(50-$J90)^ne/((50-BG$46)^ne-(50-$J90)^ne)</f>
        <v>11.028579256936593</v>
      </c>
      <c r="BH90" s="81">
        <f>(50-$J90)^ne/((50-BH$46)^ne-(50-$J90)^ne)</f>
        <v>8.333254285601715</v>
      </c>
    </row>
    <row r="91" spans="10:63" ht="13.5" thickBot="1">
      <c r="J91" s="56">
        <f t="shared" si="9"/>
        <v>7</v>
      </c>
      <c r="K91" s="68"/>
      <c r="L91" s="69"/>
      <c r="M91" s="68"/>
      <c r="N91" s="69"/>
      <c r="O91" s="68"/>
      <c r="P91" s="69"/>
      <c r="Q91" s="68"/>
      <c r="R91" s="69"/>
      <c r="S91" s="68"/>
      <c r="T91" s="69"/>
      <c r="U91" s="68"/>
      <c r="V91" s="69"/>
      <c r="W91" s="138"/>
      <c r="X91" s="125"/>
      <c r="Y91" s="124"/>
      <c r="Z91" s="125"/>
      <c r="AA91" s="124"/>
      <c r="AB91" s="125"/>
      <c r="AC91" s="124"/>
      <c r="AD91" s="125"/>
      <c r="AE91" s="124"/>
      <c r="AF91" s="125"/>
      <c r="AG91" s="124">
        <f>(50-$J91)^ne/((50-AG$47)^ne-(50-$J91)^ne)</f>
        <v>9.70861954366011</v>
      </c>
      <c r="AH91" s="70">
        <f t="shared" si="7"/>
        <v>43</v>
      </c>
      <c r="AJ91" s="71">
        <f t="shared" si="12"/>
        <v>7</v>
      </c>
      <c r="AK91" s="72">
        <v>43</v>
      </c>
      <c r="AL91" s="73"/>
      <c r="AM91" s="78"/>
      <c r="AN91" s="97"/>
      <c r="AO91" s="98"/>
      <c r="AP91" s="97"/>
      <c r="AQ91" s="78"/>
      <c r="AR91" s="97"/>
      <c r="AS91" s="111"/>
      <c r="AT91" s="114"/>
      <c r="AU91" s="78"/>
      <c r="AV91" s="97"/>
      <c r="AW91" s="78"/>
      <c r="AX91" s="143"/>
      <c r="AY91" s="127"/>
      <c r="AZ91" s="126"/>
      <c r="BA91" s="128"/>
      <c r="BB91" s="126"/>
      <c r="BC91" s="129"/>
      <c r="BD91" s="130"/>
      <c r="BE91" s="128"/>
      <c r="BF91" s="126"/>
      <c r="BG91" s="128"/>
      <c r="BH91" s="81">
        <f>(50-$J91)^ne/((50-BH$46)^ne-(50-$J91)^ne)</f>
        <v>9.70861954366011</v>
      </c>
      <c r="BK91" s="160" t="str">
        <f>"ext exponent ="&amp;ne</f>
        <v>ext exponent =0.65</v>
      </c>
    </row>
    <row r="92" spans="10:63" ht="13.5" thickBot="1">
      <c r="J92" s="161">
        <f t="shared" si="9"/>
        <v>6</v>
      </c>
      <c r="K92" s="57"/>
      <c r="L92" s="162"/>
      <c r="M92" s="57"/>
      <c r="N92" s="162"/>
      <c r="O92" s="57"/>
      <c r="P92" s="162"/>
      <c r="Q92" s="57"/>
      <c r="R92" s="162"/>
      <c r="S92" s="57"/>
      <c r="T92" s="162"/>
      <c r="U92" s="57"/>
      <c r="V92" s="162"/>
      <c r="W92" s="141"/>
      <c r="X92" s="163"/>
      <c r="Y92" s="115"/>
      <c r="Z92" s="163"/>
      <c r="AA92" s="115"/>
      <c r="AB92" s="163"/>
      <c r="AC92" s="115"/>
      <c r="AD92" s="163"/>
      <c r="AE92" s="115"/>
      <c r="AF92" s="163"/>
      <c r="AG92" s="115">
        <f>(50-$J92)^ne/((50-AG$47)^ne-(50-$J92)^ne)</f>
        <v>11.541821130350238</v>
      </c>
      <c r="AH92" s="70">
        <f t="shared" si="7"/>
        <v>44</v>
      </c>
      <c r="AJ92" s="60">
        <f t="shared" si="12"/>
        <v>6</v>
      </c>
      <c r="AK92" s="61">
        <v>44</v>
      </c>
      <c r="AL92" s="101"/>
      <c r="AM92" s="102"/>
      <c r="AN92" s="103"/>
      <c r="AO92" s="104"/>
      <c r="AP92" s="103"/>
      <c r="AQ92" s="102"/>
      <c r="AR92" s="103"/>
      <c r="AS92" s="144"/>
      <c r="AT92" s="145"/>
      <c r="AU92" s="102"/>
      <c r="AV92" s="103"/>
      <c r="AW92" s="102"/>
      <c r="AX92" s="146"/>
      <c r="AY92" s="147"/>
      <c r="AZ92" s="148"/>
      <c r="BA92" s="123"/>
      <c r="BB92" s="148"/>
      <c r="BC92" s="121"/>
      <c r="BD92" s="122"/>
      <c r="BE92" s="123"/>
      <c r="BF92" s="148"/>
      <c r="BG92" s="123"/>
      <c r="BH92" s="81">
        <f>(50-$J92)^ne/((50-BH$46)^ne-(50-$J92)^ne)</f>
        <v>11.541821130350238</v>
      </c>
      <c r="BI92" s="308">
        <v>38853</v>
      </c>
      <c r="BJ92" s="309"/>
      <c r="BK92" s="310"/>
    </row>
    <row r="93" spans="10:38" ht="13.5" thickTop="1">
      <c r="J93" s="35"/>
      <c r="K93" s="164">
        <f aca="true" t="shared" si="63" ref="K93:AG93">50-K47</f>
        <v>6</v>
      </c>
      <c r="L93" s="165">
        <f t="shared" si="63"/>
        <v>8</v>
      </c>
      <c r="M93" s="165">
        <f t="shared" si="63"/>
        <v>10</v>
      </c>
      <c r="N93" s="165">
        <f t="shared" si="63"/>
        <v>12</v>
      </c>
      <c r="O93" s="165">
        <f t="shared" si="63"/>
        <v>14</v>
      </c>
      <c r="P93" s="165">
        <f t="shared" si="63"/>
        <v>16</v>
      </c>
      <c r="Q93" s="165">
        <f t="shared" si="63"/>
        <v>18</v>
      </c>
      <c r="R93" s="165">
        <f t="shared" si="63"/>
        <v>20</v>
      </c>
      <c r="S93" s="165">
        <f t="shared" si="63"/>
        <v>22</v>
      </c>
      <c r="T93" s="165">
        <f t="shared" si="63"/>
        <v>24</v>
      </c>
      <c r="U93" s="165">
        <f t="shared" si="63"/>
        <v>26</v>
      </c>
      <c r="V93" s="165">
        <f t="shared" si="63"/>
        <v>28</v>
      </c>
      <c r="W93" s="165">
        <f t="shared" si="63"/>
        <v>30</v>
      </c>
      <c r="X93" s="165">
        <f t="shared" si="63"/>
        <v>32</v>
      </c>
      <c r="Y93" s="165">
        <f t="shared" si="63"/>
        <v>34</v>
      </c>
      <c r="Z93" s="165">
        <f t="shared" si="63"/>
        <v>36</v>
      </c>
      <c r="AA93" s="165">
        <f t="shared" si="63"/>
        <v>38</v>
      </c>
      <c r="AB93" s="165">
        <f t="shared" si="63"/>
        <v>40</v>
      </c>
      <c r="AC93" s="165">
        <f t="shared" si="63"/>
        <v>42</v>
      </c>
      <c r="AD93" s="165">
        <f t="shared" si="63"/>
        <v>44</v>
      </c>
      <c r="AE93" s="165">
        <f t="shared" si="63"/>
        <v>46</v>
      </c>
      <c r="AF93" s="165">
        <f t="shared" si="63"/>
        <v>48</v>
      </c>
      <c r="AG93" s="165">
        <f t="shared" si="63"/>
        <v>50</v>
      </c>
      <c r="AH93" s="166" t="s">
        <v>57</v>
      </c>
      <c r="AL93" s="2" t="s">
        <v>71</v>
      </c>
    </row>
    <row r="94" spans="10:34" ht="12.75">
      <c r="J94" s="35"/>
      <c r="K94" s="167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9" t="s">
        <v>56</v>
      </c>
      <c r="AH94" s="166" t="s">
        <v>55</v>
      </c>
    </row>
    <row r="95" spans="11:34" ht="18.75" thickBot="1">
      <c r="K95" s="170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2" t="s">
        <v>72</v>
      </c>
    </row>
    <row r="96" ht="13.5" thickTop="1">
      <c r="V96" s="160" t="str">
        <f>"int/ext exponents = ( "&amp;ni&amp;","&amp;ne&amp;")"</f>
        <v>int/ext exponents = ( 0.65,0.65)</v>
      </c>
    </row>
  </sheetData>
  <sheetProtection sheet="1" objects="1" scenarios="1"/>
  <mergeCells count="25">
    <mergeCell ref="BK86:BK87"/>
    <mergeCell ref="BK88:BK89"/>
    <mergeCell ref="BK64:BK65"/>
    <mergeCell ref="BI92:BK92"/>
    <mergeCell ref="BK83:BK84"/>
    <mergeCell ref="BK78:BK79"/>
    <mergeCell ref="BK70:BK71"/>
    <mergeCell ref="BK76:BK77"/>
    <mergeCell ref="BK74:BK75"/>
    <mergeCell ref="BK72:BK73"/>
    <mergeCell ref="BK50:BK51"/>
    <mergeCell ref="AJ45:AK45"/>
    <mergeCell ref="BK54:BK55"/>
    <mergeCell ref="BK58:BK59"/>
    <mergeCell ref="AJ43:BH43"/>
    <mergeCell ref="AL45:BH45"/>
    <mergeCell ref="BK48:BK49"/>
    <mergeCell ref="BI45:BI47"/>
    <mergeCell ref="BO81:BO82"/>
    <mergeCell ref="BP81:BP82"/>
    <mergeCell ref="BK80:BK82"/>
    <mergeCell ref="BK52:BK53"/>
    <mergeCell ref="BK62:BK63"/>
    <mergeCell ref="BK60:BK61"/>
    <mergeCell ref="BK66:BK67"/>
  </mergeCells>
  <printOptions/>
  <pageMargins left="0.63" right="0.5" top="0.27" bottom="0.24" header="0.17" footer="0.2"/>
  <pageSetup fitToHeight="1" fitToWidth="1" horizontalDpi="1200" verticalDpi="12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Housing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ZPD Charts and training worksheets</dc:title>
  <dc:subject/>
  <dc:creator>acox</dc:creator>
  <cp:keywords/>
  <dc:description/>
  <cp:lastModifiedBy>Alice Gaston</cp:lastModifiedBy>
  <cp:lastPrinted>2010-09-07T03:00:27Z</cp:lastPrinted>
  <dcterms:created xsi:type="dcterms:W3CDTF">2006-05-17T22:58:26Z</dcterms:created>
  <dcterms:modified xsi:type="dcterms:W3CDTF">2012-07-27T19:31:25Z</dcterms:modified>
  <cp:category/>
  <cp:version/>
  <cp:contentType/>
  <cp:contentStatus/>
</cp:coreProperties>
</file>